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hidePivotFieldList="1" defaultThemeVersion="124226"/>
  <bookViews>
    <workbookView xWindow="65428" yWindow="65428" windowWidth="23256" windowHeight="12576"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5"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4"/>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<sst xmlns="http://schemas.openxmlformats.org/spreadsheetml/2006/main" count="8643" uniqueCount="1864">
  <si>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</si>
  <si>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</si>
  <si>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</si>
  <si>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</si>
  <si>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</si>
  <si>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</si>
  <si>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</si>
  <si>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</si>
  <si>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</si>
  <si>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</si>
  <si>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</si>
  <si>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</si>
  <si>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</si>
  <si>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</si>
  <si>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</si>
  <si>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</si>
  <si>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</si>
  <si>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</si>
  <si>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</si>
  <si>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</si>
  <si>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</si>
  <si>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</si>
  <si>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</si>
  <si>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</si>
  <si>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</si>
  <si>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</si>
  <si>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</si>
  <si>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</si>
  <si>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</si>
  <si>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</si>
  <si>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</si>
  <si>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</si>
  <si>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</si>
  <si>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</si>
  <si>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</si>
  <si>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</si>
  <si>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</si>
  <si>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</si>
  <si>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</si>
  <si>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</si>
  <si>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</si>
  <si>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</si>
  <si>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</si>
  <si>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</si>
  <si>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</si>
  <si>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</si>
  <si>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</si>
  <si>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</si>
  <si>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</si>
  <si>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</si>
  <si>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</si>
  <si>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</si>
  <si>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</si>
  <si>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</si>
  <si>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</si>
  <si>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</si>
  <si>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</si>
  <si>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</si>
  <si>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</si>
  <si>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</si>
  <si>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</si>
  <si>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</si>
  <si>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</si>
  <si>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</si>
  <si>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</si>
  <si>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</si>
  <si>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</si>
  <si>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</si>
  <si>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</si>
  <si>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</si>
  <si>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</si>
  <si>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</si>
  <si>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</si>
  <si>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</si>
  <si>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</si>
  <si>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</si>
  <si>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</si>
  <si>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</si>
  <si>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</si>
  <si>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</si>
  <si>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</si>
  <si>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</si>
  <si>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</si>
  <si>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</si>
  <si>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</si>
  <si>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</si>
  <si>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</si>
  <si>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</si>
  <si>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</si>
  <si>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</si>
  <si>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</si>
  <si>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</si>
  <si>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</si>
  <si>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</si>
  <si>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</si>
  <si>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</si>
  <si>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</si>
  <si>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</si>
  <si>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</si>
  <si>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</si>
  <si>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</si>
  <si>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</si>
  <si>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</si>
  <si>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</si>
  <si>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</si>
  <si>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</si>
  <si>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</si>
  <si>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</si>
  <si>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</si>
  <si>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</si>
  <si>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</si>
  <si>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</si>
  <si>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</si>
  <si>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</si>
  <si>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</si>
  <si>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</si>
  <si>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</si>
  <si>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</si>
  <si>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</si>
  <si>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</si>
  <si>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</si>
  <si>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</si>
  <si>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</si>
  <si>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</si>
  <si>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</si>
  <si>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</si>
  <si>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</si>
  <si>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</si>
  <si>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</si>
  <si>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</si>
  <si>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</si>
  <si>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</si>
  <si>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</si>
  <si>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</si>
  <si>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</si>
  <si>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</si>
  <si>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</si>
  <si>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</si>
  <si>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</si>
  <si>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</si>
  <si>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</si>
  <si>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</si>
  <si>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</si>
  <si>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</si>
  <si>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</si>
  <si>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</si>
  <si>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</si>
  <si>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</si>
  <si>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</si>
  <si>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</si>
  <si>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</si>
  <si>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</si>
  <si>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</si>
  <si>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</si>
  <si>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</si>
  <si>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</si>
  <si>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</si>
  <si>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</si>
  <si>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</si>
  <si>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</si>
  <si>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</si>
  <si>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</si>
  <si>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</si>
  <si>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</si>
  <si>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</si>
  <si>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</si>
  <si>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</si>
  <si>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</si>
  <si>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</si>
  <si>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</si>
  <si>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</si>
  <si>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</si>
  <si>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</si>
  <si>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</si>
  <si>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</si>
  <si>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</si>
  <si>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</si>
  <si>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</si>
  <si>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</si>
  <si>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</si>
  <si>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</si>
  <si>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</si>
  <si>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</si>
  <si>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</si>
  <si>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</si>
  <si>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</si>
  <si>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</si>
  <si>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</si>
  <si>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</si>
  <si>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</si>
  <si>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</si>
  <si>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</si>
  <si>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</si>
  <si>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</si>
  <si>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</si>
  <si>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</si>
  <si>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</si>
  <si>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</si>
  <si>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</si>
  <si>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</si>
  <si>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</si>
  <si>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</si>
  <si>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</si>
  <si>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</si>
  <si>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</si>
  <si>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Publishet At</t>
  </si>
  <si>
    <t>Updated At</t>
  </si>
  <si>
    <t>URLs In Comment</t>
  </si>
  <si>
    <t>Domains In Comment</t>
  </si>
  <si>
    <t>Hashtags In Comment</t>
  </si>
  <si>
    <t>Commented Video</t>
  </si>
  <si>
    <t>Replied Comment</t>
  </si>
  <si>
    <t>Reply</t>
  </si>
  <si>
    <t>none</t>
  </si>
  <si>
    <t>youtube.com</t>
  </si>
  <si>
    <t>youtube.com youtube.com</t>
  </si>
  <si>
    <t>Title</t>
  </si>
  <si>
    <t>Description</t>
  </si>
  <si>
    <t>Custom URL</t>
  </si>
  <si>
    <t>Published At</t>
  </si>
  <si>
    <t>Thumbnail</t>
  </si>
  <si>
    <t>View Count</t>
  </si>
  <si>
    <t>Comment Count</t>
  </si>
  <si>
    <t>Subscriber Count</t>
  </si>
  <si>
    <t>Hidden Subscriber Count</t>
  </si>
  <si>
    <t>Video Count</t>
  </si>
  <si>
    <t>Content Owner</t>
  </si>
  <si>
    <t>Time Linked</t>
  </si>
  <si>
    <t>Custom Menu Item Text</t>
  </si>
  <si>
    <t>Custom Menu Item Action</t>
  </si>
  <si>
    <t>Open Channel URL in Browser</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</si>
  <si>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</si>
  <si>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</si>
  <si>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</si>
  <si>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</si>
  <si>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</si>
  <si>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</si>
  <si>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</si>
  <si>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</si>
  <si>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</si>
  <si>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</si>
  <si>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</si>
  <si>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</si>
  <si>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</si>
  <si>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</si>
  <si>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</si>
  <si>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</si>
  <si>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</si>
  <si>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</si>
  <si>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</si>
  <si>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</si>
  <si>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</si>
  <si>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</si>
  <si>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</si>
  <si>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</si>
  <si>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</si>
  <si>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</si>
  <si>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</si>
  <si>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</si>
  <si>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</si>
  <si>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</si>
  <si>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</si>
  <si>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</si>
  <si>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</si>
  <si>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</si>
  <si>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</si>
  <si>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</si>
  <si>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</si>
  <si>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</si>
  <si>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</si>
  <si>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</si>
  <si>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</si>
  <si>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</si>
  <si>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</si>
  <si>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</si>
  <si>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t>
  </si>
  <si>
    <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t>
  </si>
  <si>
    <t>Word</t>
  </si>
  <si>
    <t>Sentiment List#1</t>
  </si>
  <si>
    <t>Sentiment List#2</t>
  </si>
  <si>
    <t>Sentiment List#3</t>
  </si>
  <si>
    <t>Words in Sentiment List#1</t>
  </si>
  <si>
    <t>Words in Sentiment List#2</t>
  </si>
  <si>
    <t>Words in Sentiment List#3</t>
  </si>
  <si>
    <t>Non-categorized Words</t>
  </si>
  <si>
    <t>Total Words</t>
  </si>
  <si>
    <t>es</t>
  </si>
  <si>
    <t>videos</t>
  </si>
  <si>
    <t>youtube</t>
  </si>
  <si>
    <t>da</t>
  </si>
  <si>
    <t>link</t>
  </si>
  <si>
    <t>sein</t>
  </si>
  <si>
    <t>video</t>
  </si>
  <si>
    <t>channel</t>
  </si>
  <si>
    <t>com</t>
  </si>
  <si>
    <t>community</t>
  </si>
  <si>
    <t>tv</t>
  </si>
  <si>
    <t>training</t>
  </si>
  <si>
    <t>more</t>
  </si>
  <si>
    <t>world</t>
  </si>
  <si>
    <t>love</t>
  </si>
  <si>
    <t>management</t>
  </si>
  <si>
    <t>business</t>
  </si>
  <si>
    <t>website</t>
  </si>
  <si>
    <t>welcome</t>
  </si>
  <si>
    <t>want</t>
  </si>
  <si>
    <t>subscribe</t>
  </si>
  <si>
    <t>marketing</t>
  </si>
  <si>
    <t>mail</t>
  </si>
  <si>
    <t>email</t>
  </si>
  <si>
    <t>systems</t>
  </si>
  <si>
    <t>one</t>
  </si>
  <si>
    <t>please</t>
  </si>
  <si>
    <t>up</t>
  </si>
  <si>
    <t>blog</t>
  </si>
  <si>
    <t>take</t>
  </si>
  <si>
    <t>those</t>
  </si>
  <si>
    <t>twitter</t>
  </si>
  <si>
    <t>even</t>
  </si>
  <si>
    <t>make</t>
  </si>
  <si>
    <t>week</t>
  </si>
  <si>
    <t>skills</t>
  </si>
  <si>
    <t>support</t>
  </si>
  <si>
    <t>expert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</si>
  <si>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</si>
  <si>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</si>
  <si>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</si>
  <si>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</si>
  <si>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</si>
  <si>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</si>
  <si>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</si>
  <si>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</si>
  <si>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</si>
  <si>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</si>
  <si>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</si>
  <si>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</si>
  <si>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</si>
  <si>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</si>
  <si>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</si>
  <si>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</si>
  <si>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</si>
  <si>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</si>
  <si>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</si>
  <si>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</si>
  <si>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</si>
  <si>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</si>
  <si>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</si>
  <si>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</si>
  <si>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</si>
  <si>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</si>
  <si>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</si>
  <si>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</si>
  <si>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</si>
  <si>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</si>
  <si>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</si>
  <si>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</si>
  <si>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</si>
  <si>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</si>
  <si>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</si>
  <si>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</si>
  <si>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</si>
  <si>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</si>
  <si>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</si>
  <si>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</si>
  <si>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</si>
  <si>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</si>
  <si>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</si>
  <si>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</si>
  <si>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</si>
  <si>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</si>
  <si>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</si>
  <si>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</si>
  <si>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1.0.1.434</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</si>
  <si>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</si>
  <si>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</si>
  <si>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</si>
  <si>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</si>
  <si>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</si>
  <si>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</si>
  <si>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</si>
  <si>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</si>
  <si>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</si>
  <si>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</si>
  <si>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</si>
  <si>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</si>
  <si>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Words in Description in Entire Graph</t>
  </si>
  <si>
    <t>Entire Graph Count</t>
  </si>
  <si>
    <t>Top Words in Description in G1</t>
  </si>
  <si>
    <t>Top Words in Description in G2</t>
  </si>
  <si>
    <t>G1 Count</t>
  </si>
  <si>
    <t>Top Words in Description in G3</t>
  </si>
  <si>
    <t>G2 Count</t>
  </si>
  <si>
    <t>Top Words in Description in G4</t>
  </si>
  <si>
    <t>G3 Count</t>
  </si>
  <si>
    <t>Top Words in Description in G5</t>
  </si>
  <si>
    <t>G4 Count</t>
  </si>
  <si>
    <t>Top Words in Description in G6</t>
  </si>
  <si>
    <t>G5 Count</t>
  </si>
  <si>
    <t>Top Words in Description in G7</t>
  </si>
  <si>
    <t>G6 Count</t>
  </si>
  <si>
    <t>Top Words in Description in G8</t>
  </si>
  <si>
    <t>G7 Count</t>
  </si>
  <si>
    <t>Top Words in Description in G9</t>
  </si>
  <si>
    <t>G8 Count</t>
  </si>
  <si>
    <t>Top Words in Description in G10</t>
  </si>
  <si>
    <t>G9 Count</t>
  </si>
  <si>
    <t>G10 Count</t>
  </si>
  <si>
    <t>Top Words in Description</t>
  </si>
  <si>
    <t/>
  </si>
  <si>
    <t>Top Word Pairs in Description in Entire Graph</t>
  </si>
  <si>
    <t>Top Word Pairs in Description in G1</t>
  </si>
  <si>
    <t>Top Word Pairs in Description in G2</t>
  </si>
  <si>
    <t>Top Word Pairs in Description in G3</t>
  </si>
  <si>
    <t>Top Word Pairs in Description in G4</t>
  </si>
  <si>
    <t>Top Word Pairs in Description in G5</t>
  </si>
  <si>
    <t>Top Word Pairs in Description in G6</t>
  </si>
  <si>
    <t>Top Word Pairs in Description in G7</t>
  </si>
  <si>
    <t>Top Word Pairs in Description in G8</t>
  </si>
  <si>
    <t>Top Word Pairs in Description in G9</t>
  </si>
  <si>
    <t>Top Word Pairs in Description in G10</t>
  </si>
  <si>
    <t>Top Word Pairs in Description</t>
  </si>
  <si>
    <t>Top Words in Description by Count</t>
  </si>
  <si>
    <t>Top Words in Description by Salience</t>
  </si>
  <si>
    <t>Top Word Pairs in Description by Count</t>
  </si>
  <si>
    <t>Top Word Pairs in Description by Salience</t>
  </si>
  <si>
    <t>Count of Publishet At</t>
  </si>
  <si>
    <t>Row Labels</t>
  </si>
  <si>
    <t>Grand Total</t>
  </si>
  <si>
    <t>Jun</t>
  </si>
  <si>
    <t>2020</t>
  </si>
  <si>
    <t>16-Jun</t>
  </si>
  <si>
    <t>17-Jun</t>
  </si>
  <si>
    <t>18-Jun</t>
  </si>
  <si>
    <t>19-Jun</t>
  </si>
  <si>
    <t>20-Jun</t>
  </si>
  <si>
    <t>21-Jun</t>
  </si>
  <si>
    <t>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a à ä able about across after ain't all almost also am among an and any are aren't as at avec b be because been but by c can can't cannot could could've couldn't d de des did didn't do does doesn't don't e either el elle else ever every f for from g get got h had has hasn't have he he'd he'll he's her hers him his how how'd how'll how's however http https i i i'd i'll i'm i've if il il in into is isn't it it's its j je just k l la las le least les let like likely los m may me might might've moi most must must've mustn't my n ne neither no nor not nous o ö of off often on on only or other our own p pas por q r rather rt s said say says she she'd she'll she's should should've shouldn't since so some ß t than that that'll that's the their them then there there's these they they'd they'll they're they've this to toi too tu u ü un une us v via vous w wants was wasn't we we'd we'll we're were weren't what what's when where where'd where'll where's which while who who'd who'll who's whom why why'd will with won't would would've wouldn't www x y yet yo you you'd you'll you're you've your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t>
  </si>
  <si>
    <t>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t>
  </si>
  <si>
    <t xml:space="preserve">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t>
  </si>
  <si>
    <t>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t>
  </si>
  <si>
    <t>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t>
  </si>
  <si>
    <t>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t>
  </si>
  <si>
    <t>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t>
  </si>
  <si>
    <t>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t>
  </si>
  <si>
    <t>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t>
  </si>
  <si>
    <t>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
  </si>
  <si>
    <t xml:space="preserve">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t>
  </si>
  <si>
    <t>UCKWPSdZrvYUribmNP8ciY-g</t>
  </si>
  <si>
    <t>UCusu-y_cy_0fXxOwCTmELqw</t>
  </si>
  <si>
    <t>UCOByKzOYpe3HPPY24BgVQ5g</t>
  </si>
  <si>
    <t>UCN1NTRS4mHArmIuhpnCqXOw</t>
  </si>
  <si>
    <t>UC-h-wArcxJC8zBOD-UxfCOg</t>
  </si>
  <si>
    <t>UCgLtWv7Ck8aFPNISkPm5LsQ</t>
  </si>
  <si>
    <t>UCQ8FoQV00xTeNYeDUgbZQiA</t>
  </si>
  <si>
    <t>UCMT2TLv-CAyCuGJygoza4yg</t>
  </si>
  <si>
    <t>UCbRbT2swDvJdUxLtbse5Ycw</t>
  </si>
  <si>
    <t>UCFrlL2ETbR5Ut4zRY4rGlbA</t>
  </si>
  <si>
    <t>UCIuBeymsrTVZxiIMI6614Cg</t>
  </si>
  <si>
    <t>UC4whMI1SFiEZvJZiKMgwCnQ</t>
  </si>
  <si>
    <t>UCQGkbd6oU8-AFpzS46ms-pw</t>
  </si>
  <si>
    <t>UCcX7XxMECeuapEGi_q0Wzng</t>
  </si>
  <si>
    <t>UCFp1vaKzpfvoGai0vE5VJ0w</t>
  </si>
  <si>
    <t>UCUNTlJDKLzxxGo0tmKLbdOQ</t>
  </si>
  <si>
    <t>UCZY2pH0KI4TPqqx6gzMebOA</t>
  </si>
  <si>
    <t>UCyFw7GgDJILLOxaRSxQ3Evw</t>
  </si>
  <si>
    <t>UC4Cp2U9nRaj2f60M-Dn1q2w</t>
  </si>
  <si>
    <t>UCrbjWUC-Mdeh7_0n7pDurWg</t>
  </si>
  <si>
    <t>UCYd47UFQE9MItXf23YcYV6w</t>
  </si>
  <si>
    <t>UCwtsbXpgdKO6QPdXlYkkPmQ</t>
  </si>
  <si>
    <t>UC3qA8S5n70Al1RdjujIaWrQ</t>
  </si>
  <si>
    <t>UCa42o_SknwSL5LuQ1lnMwcw</t>
  </si>
  <si>
    <t>UCyLKEV3oi9IM2azD6meg7mQ</t>
  </si>
  <si>
    <t>UCs-QZxz2dXIwF1GKFu8mHyA</t>
  </si>
  <si>
    <t>UCcg3o79-LIs_2j9gQkfv6rg</t>
  </si>
  <si>
    <t>UCEvuS17b5fKcdU--RU0rCVg</t>
  </si>
  <si>
    <t>UCdjtPZHcM0Kp42_sd9_2JOQ</t>
  </si>
  <si>
    <t>UCiRgdeiNpVedoU-Qw7et5Pg</t>
  </si>
  <si>
    <t>UC6Fn4NtfP5xRI28vy9oe6Vg</t>
  </si>
  <si>
    <t>UCUa86G1xFqatt_yntIKsJ0A</t>
  </si>
  <si>
    <t>UCJQvl3mfUj5ww9gaHvpcD4g</t>
  </si>
  <si>
    <t>UCHHneJvHkxIctOJ6Ok-umxA</t>
  </si>
  <si>
    <t>UCS6uE8pxsb-UkLbn990_WiA</t>
  </si>
  <si>
    <t>UCFE38u5CpsNQzDpJIk4bsiw</t>
  </si>
  <si>
    <t>UCigHiy9Y3NCgFcAfCBI5dzQ</t>
  </si>
  <si>
    <t>UC_9gy3T5xc8eQi-PIWrZuEw</t>
  </si>
  <si>
    <t>UC9DPBq43Lh9NxAr9PI2_vHQ</t>
  </si>
  <si>
    <t>UCS6RpqOI7ievekmwVnzyenw</t>
  </si>
  <si>
    <t>UCGOS8_DGX0dvUTeW79t4cdQ</t>
  </si>
  <si>
    <t>UCH28ti2JbgebtjJoLCda91g</t>
  </si>
  <si>
    <t>UC_eBsljmqd2ATK8SrWCOXKw</t>
  </si>
  <si>
    <t>UC0L2P2J4fT5s2-UPhWQIZsg</t>
  </si>
  <si>
    <t>UCNPsQn3CSE8nBwTKt4qDdaw</t>
  </si>
  <si>
    <t>UCYuTigupd7XdxlWkFVKBx9w</t>
  </si>
  <si>
    <t>UCYel16PKs3LGkCpXakqFq1w</t>
  </si>
  <si>
    <t>UCYz5XRS6e7daa20C_qDCFRQ</t>
  </si>
  <si>
    <t>UCClNIl6RGNgDd-Iq2M5yNWQ</t>
  </si>
  <si>
    <t>UCgbwVKjs7REXm4t2I79THgw</t>
  </si>
  <si>
    <t>UCs9Zw6uGqXK6z3gqHx5xbwA</t>
  </si>
  <si>
    <t>UCtiQc0zJFxaNRxiHxcATdBw</t>
  </si>
  <si>
    <t>UCy2rBgj4M1tzK-urTZ28zcA</t>
  </si>
  <si>
    <t>UCAVJ-HHJHIz38ZUpqPX3B9w</t>
  </si>
  <si>
    <t>UCdZXQlNEEb80jKMVCgQufXQ</t>
  </si>
  <si>
    <t>UCLMzXVHnHNXjwWqNDLPW6cg</t>
  </si>
  <si>
    <t>UCAowWiRWK0qWlIRpK9WzQNA</t>
  </si>
  <si>
    <t>UCOcjS2ppQSqIsbMgWGCfLew</t>
  </si>
  <si>
    <t>UC5soOn0QU0yvs6Pe7K0tefQ</t>
  </si>
  <si>
    <t>UCdfD0z5ZWKOX_UQ2VusGI1g</t>
  </si>
  <si>
    <t>UCcBqmhhOJhdSmfXNeIBAehw</t>
  </si>
  <si>
    <t>UClfdPRaAYRr_hm1QXPw0qfg</t>
  </si>
  <si>
    <t>UCaibApO4Ht7dCy_MZwlVNQw</t>
  </si>
  <si>
    <t>UCoBQCIDn3ecsqTOv94tVv1Q</t>
  </si>
  <si>
    <t>UCJ7UhloHSA4wAqPzyi6TOkw</t>
  </si>
  <si>
    <t>UCNtxphdCgm2USyyvxY_6BSw</t>
  </si>
  <si>
    <t>UCYHnVKMDox5besxqEIkroww</t>
  </si>
  <si>
    <t>UCiofLi27n8sgbewHe6Bv-5A</t>
  </si>
  <si>
    <t>UCO6Xy7gs7SfTHfGT6cyQ2tw</t>
  </si>
  <si>
    <t>UC6ow7v_YFqcyJQX72HlSewg</t>
  </si>
  <si>
    <t>UCFkCY2Xtq7Icg5SvH0eERMQ</t>
  </si>
  <si>
    <t>UCsnM-iHGWJ6wp5RMZbo2UJg</t>
  </si>
  <si>
    <t>UCsuE57N12Jj9RlPZeiTimrQ</t>
  </si>
  <si>
    <t>UCvBYTqRx-n_8KzFO0MJlUVw</t>
  </si>
  <si>
    <t>UCGOJ1SXRPs15Ou0r-xq090Q</t>
  </si>
  <si>
    <t>UCLDJUM2GR2JWkszd0bBwPjg</t>
  </si>
  <si>
    <t>UCScJvW7xrPOLjE3rfXLrmuQ</t>
  </si>
  <si>
    <t>UCuDgHPZiYSujLqwF3dz4BNw</t>
  </si>
  <si>
    <t>UC2v4TcvO4rdDdfqd6rUR5yg</t>
  </si>
  <si>
    <t>UChonIc52GnJLRxshFjUxrGA</t>
  </si>
  <si>
    <t>UCRQz5Rc4o6-DpSVjGBHSOcA</t>
  </si>
  <si>
    <t>UC9P2p-pAeQftnsYjscZeLVQ</t>
  </si>
  <si>
    <t>UC3S9R3RAVMfBQweaX5eBxag</t>
  </si>
  <si>
    <t>UCAg-ddg4ptqzTP8mu4NlLSA</t>
  </si>
  <si>
    <t>UC5LyETPCxuEaYPmti9mTzuw</t>
  </si>
  <si>
    <t>UC9RZiT46dtS22LEl-PBEuxg</t>
  </si>
  <si>
    <t>UC2szASdBgFczKNTFiKYUCIA</t>
  </si>
  <si>
    <t>UCvlosdhTvUWZ89TcnFHvofg</t>
  </si>
  <si>
    <t>UC2ZbM5tCkoPwS1LezjwBSmw</t>
  </si>
  <si>
    <t>UC05MrtGm6lSEgw7U-oZu3DQ</t>
  </si>
  <si>
    <t>UCSxX7Vgyu9iThxPE1jSDFdw</t>
  </si>
  <si>
    <t>UCO_FTEu2uUhHWtga98GFnbg</t>
  </si>
  <si>
    <t>UCBO0DGXXeS7TTpvsOJ2VMKA</t>
  </si>
  <si>
    <t>UCTvYzVFo4Db-JmPqhJLu1kQ</t>
  </si>
  <si>
    <t>UCowxcCH3G-tgO2fo0pPbKMw</t>
  </si>
  <si>
    <t>UCYIZyVsh8xah1oFsr5_SBSA</t>
  </si>
  <si>
    <t>UCdbbW2_4oxgjMOmJDAuTVCQ</t>
  </si>
  <si>
    <t>UC3gwIQsVzQujAu5GWa6kKCQ</t>
  </si>
  <si>
    <t>UCyi-IKqccpG5QQHqzwzLx_g</t>
  </si>
  <si>
    <t>UCJWk4GGtM3R93hv9zsSaExw</t>
  </si>
  <si>
    <t>UCulwrFxBkHWdl7jBH9tCD8w</t>
  </si>
  <si>
    <t>UC_dba-iHCMtq_7-Pk6zscoQ</t>
  </si>
  <si>
    <t>UCZA_5vGtSpZu86VBDdSnSag</t>
  </si>
  <si>
    <t>UC7ZGuLte3YMg-CMkBsc_R2A</t>
  </si>
  <si>
    <t>UCXdBdFeLezLwbzJcB_ENyfA</t>
  </si>
  <si>
    <t>UCqop8tlrCuuuczAfxrR5j1A</t>
  </si>
  <si>
    <t>UCfth7ICp0EaKM6YyQPjvoOg</t>
  </si>
  <si>
    <t>UCDRa3hAzNSyCXYMm6zncajQ</t>
  </si>
  <si>
    <t>UCvr2RftXJBsY7vTlQCmxZaw</t>
  </si>
  <si>
    <t>UCO7kLxBbcZ-F6jdssKIMfFw</t>
  </si>
  <si>
    <t>UCFiPHO5NgaQdVggOroJP_nw</t>
  </si>
  <si>
    <t>UCQSAWg2c-QMRHUyywmilREQ</t>
  </si>
  <si>
    <t>UCtlTqmbJidEUZFkxHptY1FA</t>
  </si>
  <si>
    <t>UCYyKfXHo6Jho0ICP9TZFZRg</t>
  </si>
  <si>
    <t>UCHVkfQ6eBHYzyRh0LLjpNpg</t>
  </si>
  <si>
    <t>UCIOXfx8ziM1LrWylHIsrN0Q</t>
  </si>
  <si>
    <t>UCH4mvHhRxr_WHPjun9cr5PA</t>
  </si>
  <si>
    <t>UC_JkFPAlLvXUWm4YTru40oA</t>
  </si>
  <si>
    <t>UCcKca2PIQW-sa09aXWYL5PA</t>
  </si>
  <si>
    <t>UCHuFeq6O8IE77zuClBDkATg</t>
  </si>
  <si>
    <t>UCMHwup1V_k48AWCCFNe2yqQ</t>
  </si>
  <si>
    <t>UCHQ7g1xX-e9rghxNR4ChsOg</t>
  </si>
  <si>
    <t>UCAlXUgj-ciriCdqCLXIB7jQ</t>
  </si>
  <si>
    <t>UCxTJWLPVQpxER06LVC1fj8w</t>
  </si>
  <si>
    <t>UCz4eajnBYLumJR1qQj2SR9w</t>
  </si>
  <si>
    <t>UCTM43tLnMPEe1n93r_hJIJQ</t>
  </si>
  <si>
    <t>UCh_KxM9jaD6DCzneVuwjXNA</t>
  </si>
  <si>
    <t>UC050KnRA2lffzEsB1h8uQCw</t>
  </si>
  <si>
    <t>UCvcDnuJmSOuZUEetVKojWeQ</t>
  </si>
  <si>
    <t>UCGJJ3TcIzi9xorWNF8NYVrw</t>
  </si>
  <si>
    <t>UCxmSF_xV8EqQkoPYJL0bQLA</t>
  </si>
  <si>
    <t>UC5fs7PookxGfDPTo-RU0ReQ</t>
  </si>
  <si>
    <t>UCHSzVUk8Rnb_8pTm2tFIpqw</t>
  </si>
  <si>
    <t>UCfhu72jDk7Uxmifji_8B2qg</t>
  </si>
  <si>
    <t>UCyCaC7wGxDxT93063_XMMQw</t>
  </si>
  <si>
    <t>UCjg2kAW7dd0nmCmHrCSVUng</t>
  </si>
  <si>
    <t>UCw9VbBLCPPDHCU8ocVaYbyQ</t>
  </si>
  <si>
    <t>UC1rRu-VgjGKeuGQmoEs_oag</t>
  </si>
  <si>
    <t>UC3e_opeaD07W20AIcYMrdPg</t>
  </si>
  <si>
    <t>UCaVD0Pzqs2yFHg_6GGfP29w</t>
  </si>
  <si>
    <t>UCWKAm6B2pG6i8WkjI6sYmzg</t>
  </si>
  <si>
    <t>UCo2q0TUJMy4m0muhRo0LesQ</t>
  </si>
  <si>
    <t>UCXjKRWc69RlJCxL6YGPdH8g</t>
  </si>
  <si>
    <t>UCqdha8jegBrqZ6Z2JlSJFkQ</t>
  </si>
  <si>
    <t>UC-uHDm8uihmHB6tbP3eSvlw</t>
  </si>
  <si>
    <t>UCBmtHMjCvI_0soJvCAee7nA</t>
  </si>
  <si>
    <t>UCHk7yTkeOaJiuYwAYHciXdA</t>
  </si>
  <si>
    <t>UCR5WT6Lkv9pdX_xsvQ6YyDg</t>
  </si>
  <si>
    <t>UCJNf_zUjSFMnCJSjjr2I2cw</t>
  </si>
  <si>
    <t>UCOnfASrbw0effD5EpxKpnmA</t>
  </si>
  <si>
    <t>UCKhZm9FwH3Agf6k2p_OIsAQ</t>
  </si>
  <si>
    <t>UCrh8CGftRFYnUFanFFE932A</t>
  </si>
  <si>
    <t>UCYyWCfl36cbHL4ObejxDLNw</t>
  </si>
  <si>
    <t>UCLKL6RjR4FG0_kWNw7mJS1A</t>
  </si>
  <si>
    <t>UCMhHl1VbqopFrfmyV9nmCWA</t>
  </si>
  <si>
    <t>UCUGy2u7dX3z-0TxexjH6Y7Q</t>
  </si>
  <si>
    <t>UCmTk8A8oJsDRZk15-Zs0rng</t>
  </si>
  <si>
    <t>UC6bRQV45_B5wpO2bnDjDyow</t>
  </si>
  <si>
    <t>UCOZRKgwJMnfnipCEy9CxCjg</t>
  </si>
  <si>
    <t>UCefzkIWdkuRt3d5LpN315rw</t>
  </si>
  <si>
    <t>UC_aZP9TYHfca8CcFbfUA0IA</t>
  </si>
  <si>
    <t>UC70Td9kbF118tADiFc4j9JQ</t>
  </si>
  <si>
    <t>UCgUsJ_7Jude6q6_9B_0P4kA</t>
  </si>
  <si>
    <t>UCh4IcDwtnBwbxUQMRwrWZaA</t>
  </si>
  <si>
    <t>UCvIr-n9Azj1msNnHekgsOyA</t>
  </si>
  <si>
    <t>olá, &lt;br /&gt;&lt;br /&gt;gosto muito dos videos de vocês e estou com um problema no meu BI.&lt;br /&gt;temos o BI implementado numa empresa com consulta no BD Oracle.&lt;br /&gt;todas as tabelas estão atualizadas mas possuímos um grupo de medidas que se encontra desatualizado. Mostra a data da ultima atualização em dezembro do ano passado. Clico para atualizar, roda a atualização sem contar números de linhas e termina informando que foi atualizado, porem ao passar o mouse por cima das medidas as mesmas continuam informando que a ultima atualização foi ano passado em dezembro.&lt;br /&gt;&lt;br /&gt;Conseguem me dar uma luz?&lt;br /&gt;&lt;br /&gt;att.</t>
  </si>
  <si>
    <t>TMJ conterrânea...</t>
  </si>
  <si>
    <t>Sou do Ceará  tbm.....</t>
  </si>
  <si>
    <t>Mantap cara Pembuatan Visualisasi data, Sukses terus Channel. Saling support, ditunggu Subscribe baik ya shob. _xD83D__xDC4D_</t>
  </si>
  <si>
    <t>@Reandri Techno Ok Sobat saling Support. _xD83D__xDC4D_</t>
  </si>
  <si>
    <t>Thank you Raphael! That means a lot.</t>
  </si>
  <si>
    <t>Thank you so much for sharing your knowledge!&lt;br /&gt;&lt;br /&gt;I really admire your work!&lt;br /&gt;&lt;br /&gt;Congratulations!</t>
  </si>
  <si>
    <t>Sounds good, Mario!</t>
  </si>
  <si>
    <t>Great. I look forward to seeing the upcoming videos.</t>
  </si>
  <si>
    <t>+ 1 .. looking forward to Thursday _xD83D__xDE01_</t>
  </si>
  <si>
    <t>Glad to hear that you&amp;#39;re interested! This is a relatively dry topic for some.</t>
  </si>
  <si>
    <t>@BI Elite i had for the longest time, been looking for a nice and easy way to grab JWTs in PowerQuery. There is a lot on these lines I could deliver to my org and definitely learn a lot doing so.</t>
  </si>
  <si>
    <t>Spoiler: I like the method a lot but there still is a manual step involved. As stated in this video, you can&amp;#39;t combine multiple web data sources in a single query. So the flow is like this 1) Grab JWT 2) Paste the new JWT in a parameter 3) Reference the parameter in the other queries. You can work around this if you save the JWT to a file on sharepoint or something, but that would take a lot of setup.</t>
  </si>
  <si>
    <t>@BI Elite I actually had thought of something but didn&amp;#39;t get time to advance on it. My thought involved running a CRON job or scheduling a python/powershell script to generate JWT and dump it into a flat file on a secure location and keep replacing the file at a set frequency. PBI would just point to that file to grab the token. I would wait for your next video! You run a cool channel.</t>
  </si>
  <si>
    <t>Whoa... thanks for asking about this. I just figured out a way to make this fully automated! Video probably coming Thursday ;)</t>
  </si>
  <si>
    <t>@BI Elite much appreciated!</t>
  </si>
  <si>
    <t>Nice one. Eagerly waiting for how you keep grabbing the latest JWT!</t>
  </si>
  <si>
    <t>Yes it’s quite fun to dig around the API and see what data can be returned! Stay tuned for the following parts.</t>
  </si>
  <si>
    <t>Exceptional..&lt;br /&gt;&lt;br /&gt;Never explored rest apis this way..&lt;br /&gt;&lt;br /&gt;Keep enlightening.. :)</t>
  </si>
  <si>
    <t>Anonymous is great - no credentials needed. it worked for me</t>
  </si>
  <si>
    <t>@Nir Robinson Happened to me as well  ;-)</t>
  </si>
  <si>
    <t>@Yagel Hen 10xxx , I found the problem , i copy only part of the token (double click and there is a spae :-(()</t>
  </si>
  <si>
    <t>Hi, Thanks for great series.&lt;br /&gt;I encounter an error &lt;br /&gt;&lt;br /&gt;&amp;quot;Details: &amp;quot;Access to the resource is forbidden.&amp;quot;&amp;quot;&lt;br /&gt;&lt;br /&gt;even though I succeed to query on the web (same as your video).&lt;br /&gt;The credential I choose is anonymous - is that OK? ( I tried the other credential but got error MSG also)</t>
  </si>
  <si>
    <t>Coming up in part 2 _xD83D__xDE0A_</t>
  </si>
  <si>
    <t>Great stuff. How to publish to the service and schedule refresh? Thanks!</t>
  </si>
  <si>
    <t>same happened to me! were you able to solve it? Thanks</t>
  </si>
  <si>
    <t>found it. You need to edit Data Source properties and set Anonymously in credentials.</t>
  </si>
  <si>
    <t>Any idea why I get the &amp;quot;The Authorization header is only supported when connecting anonymously&amp;quot; error? I got the bearer token from the Rest API&amp;#39;s site where I did get a response.</t>
  </si>
  <si>
    <t>Agreed! So many people don&amp;#39;t have something like this though. :(</t>
  </si>
  <si>
    <t>@Guy in a Cube Say it ain&amp;#39;t So!!!</t>
  </si>
  <si>
    <t>Love this! Truly a best practice.</t>
  </si>
  <si>
    <t>My organization just asked me this exact question. If the report runs long...what is the ACTUAL time that shows?</t>
  </si>
  <si>
    <t>Depending on how exact users want to see the last refresh date/time, maybe it&amp;#39;s worth finding the average time of a refresh and then add that time average to the current date/time M language function. Just a thought and may not work but it&amp;#39;s an option.</t>
  </si>
  <si>
    <t>Maybe you can make the time query depend on your slow query.</t>
  </si>
  <si>
    <t>Presuming that you are looking for IST. Adding 5 n half hours to date.localnow()  should do the job if you are not worried much about the time displayed in PBI desktop.&lt;br /&gt;But I believe a better approach should exist</t>
  </si>
  <si>
    <t>Our company has locations all over the US so I just report everything in EST and instead of using Adam&amp;#39;s approach, I just create a datasource that queries the GETDATE() of our SQL server and return that in our model . Not sure of your datasource but that might help you or others.</t>
  </si>
  <si>
    <t>@shiva kumar we keep the dates of DS in a table and do a lookup so we know whether to use 4 or 5 hours as the offset to EST.</t>
  </si>
  <si>
    <t>Hey Shiva, you can use the following code:&lt;br /&gt;Source = DateTimeZone.SwitchZone(DateTimeZone.UtcNow(),-3,0), where &amp;quot;-3&amp;quot; is the difference between your timezone and UTC timezone.</t>
  </si>
  <si>
    <t>@João Luis Baldo Martins Thanks , but if my time zone follows Day Light Saving then this solution might not work.</t>
  </si>
  <si>
    <t>@Aditya K Thanks , but if my time zone follows Day Light Saving then this solution might not work.</t>
  </si>
  <si>
    <t>@shiva kumar Sorry Shiva, but what is a Day Light Saving ?</t>
  </si>
  <si>
    <t>@João Luis Baldo Martins Daylight Saving Time (DST) is the practice of setting the clocks forward one hour from standard time during the summer months, and back again in the fall, in order to make better use of natural daylight.</t>
  </si>
  <si>
    <t>If i publish this to the service, then i get the Datetime of the refresh in UTC time. How can i get the last datetime refresh of my time zone ?</t>
  </si>
  <si>
    <t>&lt;a href="https://powerpivotpro.com/2019/01/dst-refresh-date-function-power-bi-service/"&gt;https://powerpivotpro.com/2019/01/dst-refresh-date-function-power-bi-service/&lt;/a&gt;</t>
  </si>
  <si>
    <t>How to get EST Timestamp irrespective of the location the file is loaded</t>
  </si>
  <si>
    <t>I have the same use case. The way I did it was to bring the last refresh date from your data source (SQL Server in my case) and store this information in your model, and use this instead of what has been shown here</t>
  </si>
  <si>
    <t>Hello. In my organization the data from last day&amp;#39;s activities is uploaded and ready for analysis at around 10 AM the next day. However if I refresh my query at 4PM (from the power Bi service) nothing new will arrive however this table will say it&amp;#39;s updated at 4pm. Is there a trick to report on a refresh in which something actually changed in the data?</t>
  </si>
  <si>
    <t>But does this still work when there is a time change...</t>
  </si>
  <si>
    <t>@Aaron Moody Good question. I assume that MS will maintain DST for those zones that do change it. But I can&amp;#39;t attest to it. Will update you in November ;)</t>
  </si>
  <si>
    <t>For DST, you need a conditional (UTC doesn&amp;#39;t have use DST). You can change the conditional based on time zone rules in your country/ time zone. &lt;br /&gt;&lt;a href="https://powerpivotpro.com/2019/01/dst-refresh-date-function-power-bi-service/"&gt;https://powerpivotpro.com/2019/01/dst-refresh-date-function-power-bi-service/&lt;/a&gt;</t>
  </si>
  <si>
    <t>You guys clearly have never bothered with time zones did you? When you publish such report on Service, and refresh it there, it will show UTC time, because this is what Service uses. &lt;br /&gt;Here&amp;#39;s my way around (EST):&lt;br /&gt;    Source = DateTimeZone.SwitchZone(DateTimeZone.FixedUtcNow(), -4),&lt;br /&gt;    #&amp;quot;Converted to Table&amp;quot; = &lt;a href="http://www.youtube.com/results?search_query=%23table"&gt;#table&lt;/a&gt;(1, {{Source}}),&lt;br /&gt;    #&amp;quot;Renamed Columns&amp;quot; = Table.RenameColumns(#&amp;quot;Converted to Table&amp;quot;,{{&amp;quot;Column1&amp;quot;, &amp;quot;LastRefreshDate&amp;quot;}}),&lt;br /&gt;    #&amp;quot;Added Custom&amp;quot; = Table.AddColumn(#&amp;quot;Renamed Columns&amp;quot;, &amp;quot;AsOf&amp;quot;, each &amp;quot;As of &amp;quot;&amp;amp;DateTimeZone.ToText([LastRefreshDate], &amp;quot;MM/dd/yyyy hh:mmtt&amp;quot;)),</t>
  </si>
  <si>
    <t>I agree.  This function is not helpful when I publish the report.  Love to see how to add the time stamp to show local time (like EST or CST) in the Power BI Service.  This function only shows UTC.</t>
  </si>
  <si>
    <t>I have that same problem now. Any ideas how to fix it?</t>
  </si>
  <si>
    <t>Problem detected, you are using date.localnow() which will be the system local time and power bi service runs in UTC time! How to see  your local time (time zone) in power bi service not the server that host your pbix file ?</t>
  </si>
  <si>
    <t>If I start the refresh at &lt;a href="https://www.youtube.com/watch?v=oN6mOmEruOQ&amp;amp;t=10h00m00s"&gt;10:00:00&lt;/a&gt; and the refresh ends at &lt;a href="https://www.youtube.com/watch?v=oN6mOmEruOQ&amp;amp;t=11h00m00s"&gt;11:00:00&lt;/a&gt;, the table will have a close value to 10, right? Something like &lt;a href="https://www.youtube.com/watch?v=oN6mOmEruOQ&amp;amp;t=10h00m02s"&gt;10:00:02&lt;/a&gt; or so. How could I achieve to get the end time, or something close to it?</t>
  </si>
  <si>
    <t>@RamsesKZ If you know what you are doing (you know SQL, assuming an SQL datasource), it&amp;#39;s not a problem. It&amp;#39;s actually much better to write your own query instead of relying on query folding. The equivalent query you write will be much more readable compared to the generated one, you can more easily &amp;quot;debug&amp;quot; the data if something is off, etc. Then again, assuming you know SQL, if not, use PQ and do not write custom queries.</t>
  </si>
  <si>
    <t>AFAIK you better not use custom queries for your data sources, this will prevent Query Folding. Correct me if I&amp;#39;m wrong though.</t>
  </si>
  <si>
    <t>@Arklur well, there is one more point to consider - you will not take advantage of incremental refresh operations which require query folding presence. Got it pros and cons...</t>
  </si>
  <si>
    <t>Forgot to add: both methods will work wit DST (Daylight Saving Time) change automatically.</t>
  </si>
  <si>
    <t>OR&lt;br /&gt;if you have access to ms sql server version &amp;gt;= 2016&lt;br /&gt;use something like this (and choose your timezone of course as the parameter)&lt;br /&gt;SELECT (CAST(CAST(GETUTCDATE() AS DATETIMEOFFSET) AT TIME ZONE &amp;#39;Central European Standard Time&amp;#39; AS DATETIME)) AS CurrentDateTimeCEST&lt;br /&gt;Docs: &lt;br /&gt;&lt;a href="https://docs.microsoft.com/en-us/sql/t-sql/queries/at-time-zone-transact-sql?view=sql-server-ver15"&gt;https://docs.microsoft.com/en-us/sql/t-sql/queries/at-time-zone-transact-sql?view=sql-server-ver15&lt;/a&gt;&lt;br /&gt;OR&lt;br /&gt;use this free REST API which can return nice json:&lt;br /&gt;&lt;a href="http://worldtimeapi.org/api/timezone/Europe/Warsaw"&gt;http://worldtimeapi.org/api/timezone/Europe/Warsaw&lt;/a&gt;&lt;br /&gt;It will automatically find your time zone on homepage: &lt;a href="http://worldtimeapi.org/"&gt;http://worldtimeapi.org/&lt;/a&gt; &lt;br /&gt;You can also choose from list &lt;a href="http://worldtimeapi.org/timezones"&gt;http://worldtimeapi.org/timezones&lt;/a&gt;</t>
  </si>
  <si>
    <t>Turn off the data label</t>
  </si>
  <si>
    <t>Thanks for this!  How do I get the &amp;quot;First DateTime&amp;quot; not to show underneath the actual refresh time?</t>
  </si>
  <si>
    <t>if you’re pulling your data from dataflows, the refresh date in the app only shows dataset refresh time.</t>
  </si>
  <si>
    <t>@Fred Kaffenberger Also useful for ODC analyse in excel files, when using data from the service but not in the web.  Its nice to know how old the dataset is in excel;</t>
  </si>
  <si>
    <t>In the Powe Bi service it shows the last refresh date on the top of the report. Why would you use this?</t>
  </si>
  <si>
    <t>Agreed! _xD83D__xDC4A_</t>
  </si>
  <si>
    <t>Easy-peasy, lemon-squeezy _xD83E__xDD13_ simple, bit very useful!</t>
  </si>
  <si>
    <t>Also useful to compare the result of those two techniques (report vs max fact table) in a dax measure. This really helps diagnose which data source to go check</t>
  </si>
  <si>
    <t>Great point Thomas! Definitely something to consider. _xD83D__xDC4A_</t>
  </si>
  <si>
    <t>If data in the data source is not refreshed due to ETL errors you will need to find the MAX date in the underlying fact table.</t>
  </si>
  <si>
    <t>Hey Nomad,&lt;br /&gt;&lt;br /&gt;You can use the following code:&lt;br /&gt;&lt;br /&gt;Source = DateTimeZone.SwitchZone(DateTimeZone.UtcNow(),-3,0), where &amp;quot;-3&amp;quot; is the difference between your timezone and UTC timezone.</t>
  </si>
  <si>
    <t>Hi, how do you set the timezone? It&amp;#39;s UTC on PowerBI service</t>
  </si>
  <si>
    <t>From Power BI Desktop you cannot. But, when you publish the dataset to the Power BI service, you can use Scheduled Refresh.</t>
  </si>
  <si>
    <t>How can we automatically refresh data in Power BI Desktop?</t>
  </si>
  <si>
    <t>@Guy in a Cube The issue with that approach happens in the service when an end user hits the refresh button and the DAX calculates but the data isn&amp;#39;t actually refreshed. Power Query is the only way outside the metadata in the new app experience</t>
  </si>
  <si>
    <t>That is another way to do it. I usually try and push things as far back as I can. But, assuming it is by itself, that may not have a lot of overhead from a calculated column perspective.</t>
  </si>
  <si>
    <t>Hi @guyinacube, I use a calculated col in my report just create a col and enter UTCNow()  function to get the date time in utc, now to show the time zone i just concatenate this function with &amp;quot; UTC&amp;quot; string and now they know when their data was last refreshed.</t>
  </si>
  <si>
    <t>Yup, that is another great way to do it. Depends on what you want to see. When the model was actually last refreshed, regardless of the data inside, or the last current record you have within the data. Or, maybe both :)</t>
  </si>
  <si>
    <t>My approach (working with a database of sales data that refreshes overnight) is to instead report the last invoice date from my report.  But I will definitely keep this in mind for other applications.</t>
  </si>
  <si>
    <t>Appreciate that! _xD83D__xDC4A_</t>
  </si>
  <si>
    <t>You guys are the best !!!</t>
  </si>
  <si>
    <t>do you mean if you are live connected to an AS Tabular model? It would have to be something similar done within the model like what i showed for Power BI Desktop. Need to be a field you can use that has the info.</t>
  </si>
  <si>
    <t>@Guy in a Cube Thank you for your reply,&lt;br /&gt;I have a multi dimension AS model, I have researched about displaying the Last Process date for spicific cube but I didn&amp;#39;t find any solution,&lt;br /&gt;I have added a field in a Fact Dimension with update query every time before process spicific cube to handle my scenario.</t>
  </si>
  <si>
    <t>There are any way to get last process date for Cube and display it in PowerBI?</t>
  </si>
  <si>
    <t>If you have a composite model, you will need to refresh. With DirectQuery, you aren&amp;#39;t refreshing. Queries are issued when you load the report so this concept doesn&amp;#39;t make a lot of sense for DirectQuery.</t>
  </si>
  <si>
    <t>Is it correct that if you publish this idea to the PBI service it won’t refresh? I have a direct query report and I added this to the report, but it will refresh in the Desktop but won’t refresh in the Service. Anyone that can help me out?</t>
  </si>
  <si>
    <t>The idea with this date is that this is the last time the refresh/processing was done. With Power BI, it is a complete refresh. You can&amp;#39;t pick partial data sources.</t>
  </si>
  <si>
    <t>@Guy in a Cube i was reffering to the data source refresh issue, and not PBI refresh. If one of the data SOURCES such account master didn&amp;#39;t refresh for that day for example due to failure in ETL process, while other sources did get refreshed such CRM. PBI will assume that all data sources got refreshed, and will show that last day this deck refreshed however it didn&amp;#39;t tell you what is the actual duration of this data, which was part of your introduction briefing. &lt;br /&gt;I can walk you into a real world example of how this methodology in complex environments may create serious wrong assumptions.</t>
  </si>
  <si>
    <t>Thanks for the video, yet This could be problematic if you have multiple data sources and some of them might not refresh or might not bring the full data as expected, which happen often in our production environment.&lt;br /&gt;I suggest using Max date per table, where you actually see the actual latest date in your calendar.&lt;br /&gt;&lt;br /&gt;I have a data model that has multiple marketing channels feeding into it, and then connected to GA along to CRM and ACMST, each one of these tables has also date and I always want to insure all tables are refreshed so I created a deck with multiple fields that shows the max date for each table.</t>
  </si>
  <si>
    <t>Glad you like them!</t>
  </si>
  <si>
    <t>If I could give many thumbs up, I would give. All your videos are so well explained!</t>
  </si>
  <si>
    <t>Glad you liked it!</t>
  </si>
  <si>
    <t>This is made simple. Just like your every other video. &lt;br /&gt;Amazing! Thank you</t>
  </si>
  <si>
    <t>Hello Girish, Thanks for your appericiation_xD83D__xDE0A_&lt;br /&gt;My remarks on this -&lt;br /&gt;1- According to my location it is taking default time zone of Malaysia utc+8 but you can change this.&lt;br /&gt;2- If i am pro user how can i use same mail for premium login??&lt;br /&gt;3- Yes, to get updated data from online live web api need scheduled refresh and no datagateway required.</t>
  </si>
  <si>
    <t>A good video.. no doubt .&lt;br /&gt;But few suggestions..&lt;br /&gt;1. While scheduling refresh, you didnt change geographical timing setup. It was set to UTC+8 (i believe)&lt;br /&gt;2. You are a pro license user, so u can schedule for 8 times. But if u are a pro license user and hosting your report to Premium App workspace, 48 times scheduled refresh is possible.&lt;br /&gt;3. In video you can also say that... since the datasource is online based so, no on-prem data gateway is required for scheduled refresh (i hope i am right on this)</t>
  </si>
  <si>
    <t>Olá Oscar. Dia 7/jul. Abs</t>
  </si>
  <si>
    <t>Quando você abrirá as inscrições para o curso completo do Power Bi?</t>
  </si>
  <si>
    <t>Valeuu</t>
  </si>
  <si>
    <t>Muito boa a live, pra cima !!!</t>
  </si>
  <si>
    <t>Sim, é possível. Procure pela documentação das APIs do Office 365. Abs</t>
  </si>
  <si>
    <t>Leonardo boa noite, como faço para ligar o portal de admin do office 365 no BI para gerenciar as licenças disponíveis de softwares?  É possível?</t>
  </si>
  <si>
    <t>Po, que legal Calvin, fico feliz em saber cara. Foi um prazer atender vocês pessoalmente! Grande abraço</t>
  </si>
  <si>
    <t>Seus conteúdos são ouro Leo! Sou muito grato pelo seu treinamento que possibilitou iniciarmos uma grande vertente da revolução digital na empresa que eu estava ano passado! Muito obrigado sempre.</t>
  </si>
  <si>
    <t>Boa tarde Edenir, amigo com o Insomnia consigo consumir uma api diariamente e registrar em banco com a data do dia? Os dados são os mesmos, o que preciso é comparar hoje - ontem, no powerbi resolvo a comparação, só preciso da requisição diária, não consegui encontrar uma maneira de manter o dia anterior no powerquery, se for possível com insomnia vou estudar ele.</t>
  </si>
  <si>
    <t>Show, valeu</t>
  </si>
  <si>
    <t>Leo, pra consumir API também pode usar o Insomnia, que é muito bom. Bastante leve.</t>
  </si>
  <si>
    <t>@Diego Ferreira Não sei te dizer ...Comentei do Insomnia pois uso para estudar desenvolvimento de aplicativos móveis, mas uso somente em ambiente de estudo mesmo. Daí teríamos que ver com nosso mestre Leo.. Também gostaria de consultar dados de indicadores econômicos (IGPM, IPCA, INPC) no Power BI via API. Tenho muito que aprender.</t>
  </si>
  <si>
    <t>Let us know your findings!&lt;br /&gt;/Ruth</t>
  </si>
  <si>
    <t>I’ll have to try this to analyze how many webinars I watch. I do heavily use the File Explorer connector to find large files or files updated recently.</t>
  </si>
  <si>
    <t>I thought you might like it _xD83D__xDE04_&lt;br /&gt;/Ruth</t>
  </si>
  <si>
    <t>Thanks for providing me with an excuse I can use with my boss.</t>
  </si>
  <si>
    <t>Yes please, and share if possible your findings!&lt;br /&gt;/Ruth</t>
  </si>
  <si>
    <t>Very cool ! I’m going to do the exact same with the number of emails.</t>
  </si>
  <si>
    <t>@Curbal Hi, I tried to go into the website, but couldn&amp;#39;t find the right file. Only found one from 2018 but it seems like it is different from the one used in the video.</t>
  </si>
  <si>
    <t>It is not possible to paste in the description box, but you can find the link to the calendar in the download center.&lt;br /&gt;/Ruth</t>
  </si>
  <si>
    <t>@Curbal cool! Thanks so much!!</t>
  </si>
  <si>
    <t>@Curbal I was wondering if you have made any videos showing any platforms / tools for project management, sth like Gantt Chart that can be connected to Power BI? Any suggestions/recommendations please? Thanks so much in advance.</t>
  </si>
  <si>
    <t>Thank you so much!! However I couldn&amp;#39;t find the calendar code that you used at &lt;a href="https://www.youtube.com/watch?v=zXJphXou0TE&amp;amp;t=2m29s"&gt;2:29&lt;/a&gt;. Could you please send me the link or paste the code in the description box please? Thanks a million!!!</t>
  </si>
  <si>
    <t>Got it!&lt;br /&gt;/Ruth</t>
  </si>
  <si>
    <t>Great ! Thanks. Looking forward for DAX Fridays !</t>
  </si>
  <si>
    <t>Please zoomin the contents , very difficult to figure out what&amp;#39;s is being shown on the screen</t>
  </si>
  <si>
    <t>Let us know how it is going!&lt;br /&gt;/Ruth</t>
  </si>
  <si>
    <t>Hey Ruth, thats really nice :) im going to create for myself. Thanks for the idea :)</t>
  </si>
  <si>
    <t>Let us know the results!&lt;br /&gt;/Ruth</t>
  </si>
  <si>
    <t>Great idea Ruth!!!</t>
  </si>
  <si>
    <t>Glad you found this video useful</t>
  </si>
  <si>
    <t>Love you, sir. This is exactly what I have been looking for. I want to make a PowerApp containing game heroes/characters and then on click of a hero I want to filter out report data of that particular hero stats or abilities. I could do this within Power BI only but I am not sure if I can use images as filtering options on Power BI</t>
  </si>
  <si>
    <t>Thank you</t>
  </si>
  <si>
    <t>Reza, you&amp;#39;re the best! Excellent demo! I think this integration is really awesome and it&amp;#39;s a game-changer.  &lt;br /&gt;Using Power BI as the main tool along with Power Apps integration only to perform CRUD, our apps are going to be much more analytical focused because Power BI is really powerful to perform complex calculations and build awesome data-driven visualizations....</t>
  </si>
  <si>
    <t>CDS requires Power Apps premium licensing ( so does SQL ). Every user accessing the Power App would need the premium license. &lt;br /&gt;&lt;br /&gt;Also, for the PBI PA CDS combination, the user would also need a Power bi license</t>
  </si>
  <si>
    <t>@Reza Dorrani What PBI license will suffice? free/pro/premium?</t>
  </si>
  <si>
    <t>Raza, you&amp;#39;re the MAN _xD83D__xDE0E_&lt;br /&gt;So, it seems that for heavy duty PowerBI querying the real answer is CDS (or SQL server, which I believe in the long run will have less and less use of).&lt;br /&gt;My query is, what type of PA license do I need to achieve this PowerBI-CDS-PA integration? will a Microsoft 365 be enough? or do I need one of the standalone plans (per user/per app)?</t>
  </si>
  <si>
    <t>:)</t>
  </si>
  <si>
    <t>Sorry for misspelling your name. It&amp;#39;s REZA of course _xD83D__xDE16_</t>
  </si>
  <si>
    <t>Hi Avinoam,&lt;br /&gt;&lt;br /&gt;The editing and adding data does indeed take place directly in the CDS entity. In the video within the Power App I do connect to CDS and then use the form control to submit data.&lt;br /&gt;&lt;br /&gt;In this video I leverage CDS as a data source. However the same concept works with any other data source - Sql, SharePoint etc.</t>
  </si>
  <si>
    <t>BTW Reza,&lt;br /&gt;I didn&amp;#39;t get it, regarding the CDS integration here.&lt;br /&gt;Does editing or adding data with the PA app actually update the data in the CDS entity?</t>
  </si>
  <si>
    <t>Thank you for watching</t>
  </si>
  <si>
    <t>Thank you Dan. Great point!</t>
  </si>
  <si>
    <t>Well done, Reza!&lt;br /&gt;I like how you&amp;#39;ve used CDS entity to demonstrate the deep-integration between Power Apps and Power BI. I&amp;#39;m also glad you pointed out that SharePoint isn&amp;#39;t a Direct Query data source, however, you can use Power Automate flow to refresh the Power BI report.</t>
  </si>
  <si>
    <t>_xD83D__xDE31_ Accede al CURSO de POWER BI en ESPAÑOL _xD83D__xDCCA__xD83D__xDCC8_ _xD83D__xDC49__xD83D__xDC49_  &lt;a href="https://bit.ly/35weflW"&gt;https://bit.ly/35weflW&lt;/a&gt;&lt;br /&gt;&lt;br /&gt;SUSCRIBITE al CANAL _xD83D__xDC49__xD83D__xDC49_ &lt;a href="https://bit.ly/2mkyaDj"&gt;https://bit.ly/2mkyaDj&lt;/a&gt;</t>
  </si>
  <si>
    <t>_xD83D__xDE31__xD83D__xDC49_Que es y para que sirve el LENGUAJE DAX en POWER BI _xD83D__xDC49_ &lt;a href="https://cutt.ly/5uxkOlk"&gt;https://cutt.ly/5uxkOlk&lt;/a&gt;&lt;br /&gt;&lt;br /&gt;SUSCRIBITE al CANAL _xD83D__xDC49__xD83D__xDC49_ &lt;a href="https://bit.ly/2mkyaDj"&gt;https://bit.ly/2mkyaDj&lt;/a&gt;</t>
  </si>
  <si>
    <t>Manoel, boa noite e muito obrigado pelo seu comentário. Abs Rogério</t>
  </si>
  <si>
    <t>Muito TOP !!!! Brigado Rogério !!</t>
  </si>
  <si>
    <t>Ester, muito obrigado pelo seu comentário. Abs Rogério</t>
  </si>
  <si>
    <t>Top!!!</t>
  </si>
  <si>
    <t>Mais prático, rápido e para manipular grandes quantidades de dados.&lt;br /&gt;_xD83D__xDE09_</t>
  </si>
  <si>
    <t>Fala Luan !&lt;br /&gt;Parabéns pelo Vídeo, Muito bem explicado as diferenças, &lt;br /&gt;Power Bi veio deixar mais bonito e mais fácil o que o Excel já fazia</t>
  </si>
  <si>
    <t>Obrigado!!!</t>
  </si>
  <si>
    <t>Orgulho define. Boa!!! Power BI éuma excelente ferramenta.</t>
  </si>
  <si>
    <t>Obrigado Weslly!! Vale muito a pena se aprofundar nessa ferramenta. Aqui no canal tem um vídeo dos primeiros passos. Dá uma conferida _xD83D__xDE43_</t>
  </si>
  <si>
    <t>Nossa que conteúdo de auto valor, com certeza vou da um olhada mais a fundo nessa ferramenta</t>
  </si>
  <si>
    <t>@Data Marketing Com certeza vou olhar mano</t>
  </si>
  <si>
    <t>Allah blesses all Excel / PowerQuery users</t>
  </si>
  <si>
    <t>May ALLAH Bless you Sir,&lt;br /&gt;Thanks so much</t>
  </si>
  <si>
    <t>Nor me</t>
  </si>
  <si>
    <t>It&amp;#39;s currently available on the Beta Channel for Microsoft/Office 365 and will be rolling out to other channels in the coming months.</t>
  </si>
  <si>
    <t>not getting the option to get data from PDF</t>
  </si>
  <si>
    <t>Hi Hendrik,&lt;br /&gt;The From PDF option is currently available on the Beta Channel for Microsoft/Office 365 subscribers and will be rolling out to other channels in the coming months.</t>
  </si>
  <si>
    <t>Also not getting the option for PDF.</t>
  </si>
  <si>
    <t>Hope you enjoy it! _xD83D__xDE0A_</t>
  </si>
  <si>
    <t>Great Tutorial,Looking Forward To Try PDF Imports When It Becomes Available...Thank You Jon :)</t>
  </si>
  <si>
    <t>I don&amp;#39;t have an ETA but hoping it&amp;#39;s soon too!</t>
  </si>
  <si>
    <t>how long do you think it will take for this to get out of beta? this is a long awaited feature!</t>
  </si>
  <si>
    <t>Thanks Rahul! _xD83D__xDE42_</t>
  </si>
  <si>
    <t>@Excel Campus - Jon sir my excel not showing explore PDF</t>
  </si>
  <si>
    <t>Really thank u sir.</t>
  </si>
  <si>
    <t>Hey Kurt,&lt;br /&gt;Great question!  I don&amp;#39;t believe the PDF feature supports password protected files yet.  You would need to unprotect the file and save it without the password before importing.  I tried to import a password protected PDF but got an error message.  Hopefully they will make it possible to input the password in the future.&lt;br /&gt;&lt;br /&gt;Thanks again and have a nice day! _xD83D__xDE42_</t>
  </si>
  <si>
    <t>Greetings John, does the pdf file need to be in a certain format or permission settings? I was told that the pdf files that I wanna import via Excel are not importable because they are locked down.</t>
  </si>
  <si>
    <t>Thanks so much John.  I appreciate your support!  Looking forward to everyone getting their hands on it too. _xD83D__xDC4D_</t>
  </si>
  <si>
    <t>Excellent video, Jon, thanks for sharing.  Can&amp;#39;t wait for this functionality!</t>
  </si>
  <si>
    <t>Thank you Jeff!!</t>
  </si>
  <si>
    <t>Finally!</t>
  </si>
  <si>
    <t>Thanks Shafiuddin!</t>
  </si>
  <si>
    <t>_xD83D__xDC4C__xD83D__xDC4C__xD83D__xDC4C__xD83D__xDC4C__xD83D__xDC4C_Very good explanation  D365 master @carl de souza</t>
  </si>
  <si>
    <t>Thanks so much Igor!</t>
  </si>
  <si>
    <t>As always, lot&amp;#39;s super useful information</t>
  </si>
  <si>
    <t>Yes we can use the tooltip now.&lt;br /&gt;Before current update we didn&amp;#39;t have that option to use tooltip.&lt;br /&gt;Will send file today &lt;br /&gt;Thanks stay tune and keep watching.</t>
  </si>
  <si>
    <t>Send over email please check</t>
  </si>
  <si>
    <t>Can we use tool tip in this visual. Please share the pbix file to mail.rajendranv@&lt;a href="http://gmail.com/"&gt;gmail.com&lt;/a&gt;</t>
  </si>
  <si>
    <t>Thanks.</t>
  </si>
  <si>
    <t>Great video thanks for sharing.</t>
  </si>
  <si>
    <t>That typically means that you have a lot of visuals and your visual is waiting for others to complete.</t>
  </si>
  <si>
    <t>If you can&amp;#39;t reduce the number of visuals, look for Curbal&amp;#39;s video on DAX Fusion to see if you can take advantage of that.</t>
  </si>
  <si>
    <t>Try Change slicer to dropdown. Not list</t>
  </si>
  <si>
    <t>It&amp;#39;s the time that is taking for waiting on other stuff to finish. Usually you have a lot of visuals. We saw one where they had 45 visuals and their slowest DAX query was 123ms. :| Had to reduce the number of visuals.</t>
  </si>
  <si>
    <t>Changing a slicer from list to dropdown will defer the DAX statement, but it&amp;#39;s still a visual that has to be rendered and will contribute to the Other timing.</t>
  </si>
  <si>
    <t>The majority of the time for my longest visuals to run is spent in the &amp;quot;Other&amp;quot; bucket - any tips on how to decrease the time on that?&lt;br /&gt;&lt;br /&gt;Edit: Also thanks for this video!</t>
  </si>
  <si>
    <t>Appreciate that! Thanks for watching _xD83D__xDC4A_</t>
  </si>
  <si>
    <t>Thanx Adam! Great video</t>
  </si>
  <si>
    <t>need to break down the DAX. Check out the video that Patrick and Marco did on debugging DAX. You definitely need to optimize that. &lt;a href="https://www.youtube.com/watch?v=9SV2VnYbgg4"&gt;https://www.youtube.com/watch?v=9SV2VnYbgg4&lt;/a&gt;</t>
  </si>
  <si>
    <t>Also look at this video we did with Phil Seamark: &lt;a href="https://www.youtube.com/watch?v=eABg872TAJU"&gt;https://www.youtube.com/watch?v=eABg872TAJU&lt;/a&gt;</t>
  </si>
  <si>
    <t>My storage engine query is 266 approx and is taking 60s to derive :( is there a way which can help optimize my dax to improve the performance?</t>
  </si>
  <si>
    <t>Agreed. Have heard Marco and Alberto say that all the time. I also liked the article that Alberto just posted - &lt;a href="https://www.sqlbi.com/blog/alberto/2020/06/20/7-reasons-dax-is-not-easy/"&gt;https://www.sqlbi.com/blog/alberto/2020/06/20/7-reasons-dax-is-not-easy/&lt;/a&gt;</t>
  </si>
  <si>
    <t>DAX is simple, but not easy at all</t>
  </si>
  <si>
    <t>yes! thanks for sharing.</t>
  </si>
  <si>
    <t>There&amp;#39;s an updated version of Dax Studio &lt;a href="https://github.com/DaxStudio/DaxStudio/commit/f9ee1a2502b437b2ee37b1eaad7f7c855733c156"&gt;https://github.com/DaxStudio/DaxStudio/commit/f9ee1a2502b437b2ee37b1eaad7f7c855733c156&lt;/a&gt;</t>
  </si>
  <si>
    <t>That is a huge topic :) we have some videos covering some. Also pointed in the video to the video we did with Marco about how to debug DAX.</t>
  </si>
  <si>
    <t>That was a good start but I felt like you stopped at the most interesting bit: DAX optimization. How about a part 2?</t>
  </si>
  <si>
    <t>Taking it day by day :) We have plans to do more.</t>
  </si>
  <si>
    <t>Good Video, I&amp;#39;m surprised that you guys aren&amp;#39;t more popular. I&amp;#39;d love to see more on Optimisation</t>
  </si>
  <si>
    <t>Thanks for watching Anthony! _xD83D__xDC4A_</t>
  </si>
  <si>
    <t>Cool.</t>
  </si>
  <si>
    <t>hard to answer without more details. The memory consumption is probably tied to your data model. You should see the memory break down in Task Manager for the sub processes. When you launch the the PBIX, it will also try rendering the visuals, which in turn will query the data model. Not sure how long you see that for. Also depends on what kind of machine you have. If you are limited memory, OS paging will kick in as well which will slow things down.</t>
  </si>
  <si>
    <t>I have created a report in power bi where all data is coming from flat files. I don&amp;#39;t know why, when I open pbix it consume 100% of CPU and more than 2 gb of RAM and slows down the system. Any reason behind that?</t>
  </si>
  <si>
    <t>Valeu!!! tamojunto</t>
  </si>
  <si>
    <t>@Power BI na Real &lt;a href="http://www.youtube.com/results?search_query=%23tmj"&gt;#TMJ&lt;/a&gt;..._xD83E__xDD1C__xD83E__xDD1B_aprendendo com seus vídeos! Obrigado!!!</t>
  </si>
  <si>
    <t>Excelente dica, professor! &lt;br /&gt;Tenho uma sugestão. Acho que esse cabeçalho do Dashboard ficaria melhor se não destoasse tanto a cor da logomarca (amarela) com a cor cinza clara do retângulo.&lt;br /&gt;Só sugestão de cor do layout mesmo.&lt;br /&gt;Parabéns pelo excelente trabalho. _xD83D__xDC4F__xD83D__xDC4F__xD83D__xDC4F__xD83D__xDC4F__xD83D__xDCA5_☝️☝️☝️</t>
  </si>
  <si>
    <t>Curta e ajude compartilhando. Valeuu</t>
  </si>
  <si>
    <t>Seus vídeos são muito bons prof. Parabéns pelo conteúdo. Direto ao ponto, claro e objetivo.</t>
  </si>
  <si>
    <t>All just return all of the columns or the table irrespective of any filter that has been applied on the columns or the table.</t>
  </si>
  <si>
    <t>Thanks, Melissa! Enterprise DNA videos always give me insights really. So did this one... &amp;quot;ISINSCOPE&amp;quot;, &amp;quot;&amp;amp;&amp;amp;&amp;quot; as AND... And if I am lucky enough, I will someday understand the true meaning of &amp;quot;FILTER (ALL(&amp;quot; thingy...</t>
  </si>
  <si>
    <t>You&amp;#39;re welcome</t>
  </si>
  <si>
    <t>@laxmi skills please speak in english</t>
  </si>
  <si>
    <t>اظن انه مجاني يكفي تنزيله و ربطه بحساب taalim</t>
  </si>
  <si>
    <t>برنامج رائع ماهو سعره</t>
  </si>
  <si>
    <t>سأبحث عن التتمة و أتقاسمها معكم</t>
  </si>
  <si>
    <t>شيء رائع جدا الله يجزيكم بخير اتمنا تنزيل تتمة التكوين فانا في امس الحاجة اليه</t>
  </si>
  <si>
    <t>Welcome</t>
  </si>
  <si>
    <t>I am enhancing my knowledge day by day.&lt;br /&gt;Thank you.</t>
  </si>
  <si>
    <t>Thanks</t>
  </si>
  <si>
    <t>great sir</t>
  </si>
  <si>
    <t>Thanx ashish bhaiii</t>
  </si>
  <si>
    <t>Excel ki baat kare to isme hum addins ki help se Power Query ko add kara sakte hai ... Mein koshish karunga ki jald Power Query se related content bhi aap logo ke liye lau</t>
  </si>
  <si>
    <t>Power BI or Excel dono me hi almost same hi hai .. Ek jaise options hi hote h power bi me already bata rakha h haan excel me bata dunga</t>
  </si>
  <si>
    <t>Sir kya hm excel se bhi power query chala sakte hai kya magar excel mai modeling wala option ni mil raha hai....to kya power bi app se hi karna hoga _xD83D__xDC4D_</t>
  </si>
  <si>
    <t>Power BI tutorial for Beginners 2020&lt;br /&gt;&lt;br /&gt;&lt;a href="https://www.youtube.com/playlist?list=PL6Omre3duO-NR2EBDPu0MOCXsAVpSIwgX"&gt;https://www.youtube.com/playlist?list=PL6Omre3duO-NR2EBDPu0MOCXsAVpSIwgX&lt;/a&gt;</t>
  </si>
  <si>
    <t>Waiting For That Sir</t>
  </si>
  <si>
    <t>Hota hai</t>
  </si>
  <si>
    <t>Sir power bi windows 7 me nahi install hota hai</t>
  </si>
  <si>
    <t>Today 2 section videos I have published. &lt;br /&gt;Everyday you will get videos for next one month.</t>
  </si>
  <si>
    <t>Pavan have u uploaded all videos of POWER BI..... I have seen in Facebook.</t>
  </si>
  <si>
    <t>Actually same trick I am looking  that how to store alll measure in one single table thanks for this trick_xD83D__xDE42_</t>
  </si>
  <si>
    <t>Yes 2 days , it will be loaded on website</t>
  </si>
  <si>
    <t>@Pavan Lalwani okk one quetion .....are all the functions available in excel. like modeling feature etc etc</t>
  </si>
  <si>
    <t>Can you elaborate your question</t>
  </si>
  <si>
    <t>give us practise sheets ??</t>
  </si>
  <si>
    <t>Please use the same excel file which is available under introduction video of this playlist</t>
  </si>
  <si>
    <t>@Learn DAX okk</t>
  </si>
  <si>
    <t>file de do</t>
  </si>
  <si>
    <t>Thanks for the huge compliment.&lt;br /&gt;All data files you can download here &lt;a href="https://www.learndax.com/power-bi-sample-data-for-beginners-to-download/"&gt;https://www.learndax.com/power-bi-sample-data-for-beginners-to-download/&lt;/a&gt;</t>
  </si>
  <si>
    <t>@Learn DAX thank you sir&lt;br /&gt;Your way of explanation is very awesome _xD83D__xDC4D__xD83D__xDC4D__xD83D__xDC4D__xD83D__xDC4D__xD83D__xDC4D__xD83D__xDC4D__xD83D__xDC4D_</t>
  </si>
  <si>
    <t>Very very useful video for every one&lt;br /&gt;Very big thanks to share with us these kind of useful video&lt;br /&gt;One ore thing can you please also share with us those data file which you used preparation for this video&lt;br /&gt;Kindly attached the file else share the file also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_xD83D__xDC4C_&lt;br /&gt;Rest your all video for running series is awesome _xD83D__xDC4D__xD83D__xDC4D__xD83D__xDC4D__xD83D__xDC4D__xD83D__xDC4D__xD83D__xDC4D__xD83D__xDC90__xD83D__xDC90__xD83D__xDC90__xD83D__xDC90__xD83D__xDC90__xD83D__xDC90_</t>
  </si>
  <si>
    <t>Thank u sir</t>
  </si>
  <si>
    <t>Thank you Ashish</t>
  </si>
  <si>
    <t>Ek hi no explanation</t>
  </si>
  <si>
    <t>Thank you Sir</t>
  </si>
  <si>
    <t>Wow great</t>
  </si>
  <si>
    <t>Yes daily videos would be uploaded. Power Query, Power Pivot , DAX and M language.&lt;br /&gt;&lt;br /&gt;Try to spread more about this course.</t>
  </si>
  <si>
    <t>Power qurery and pivot v complete....krde pllllzzzz</t>
  </si>
  <si>
    <t>Pls type here your query , I will surely try to resolve</t>
  </si>
  <si>
    <t>Can I talk to u9711731924</t>
  </si>
  <si>
    <t>Thank you Anu :)&lt;br /&gt;Share the good work further.</t>
  </si>
  <si>
    <t>Crystal Clear explanation...love all your videos. Thanks for this course, it is very useful for my work</t>
  </si>
  <si>
    <t>I am not good into that</t>
  </si>
  <si>
    <t>pls put a course on operational excellence too..thanks</t>
  </si>
  <si>
    <t>Regards&lt;br /&gt;Pavan &lt;br /&gt;Surely will keep posting videos</t>
  </si>
  <si>
    <t>Good Presentation and I am very eagerly waiting for more videos on Power BI. Thanks Pawan.</t>
  </si>
  <si>
    <t>Signup is in Section 10. Will release video soon !!!</t>
  </si>
  <si>
    <t>Hi Pavan,&lt;br /&gt;&lt;br /&gt;Supreb demo!!Please emphasize on Signup part as some us are unable to signup with orgnization email-id,what could be the reason?</t>
  </si>
  <si>
    <t>POWER BI</t>
  </si>
  <si>
    <t>Thanx sir....I have done excel and excel vba and &lt;a href="http://vba.net/"&gt;vba.net.&lt;/a&gt;......&lt;br /&gt;Now what should I do ....access,sql server , power bi ....Python etc etc..</t>
  </si>
  <si>
    <t>Santosh, can you tell me video numbers</t>
  </si>
  <si>
    <t>Hi Pawan, Videos are not in order.. Should come one by one..!! that will be great..!!</t>
  </si>
  <si>
    <t>Carlos, Thanks for following my tutorials. Yes, I&amp;#39;m working on it. I&amp;#39;ll upload it next Saturday. Stay tuned.</t>
  </si>
  <si>
    <t>In spanish first please, speed speed, jeejje. Thanks a lot</t>
  </si>
  <si>
    <t>Glad you found this tutorial helpful, Mohd. Keep up the good work!</t>
  </si>
  <si>
    <t>Found very useful thank you</t>
  </si>
  <si>
    <t>Nice</t>
  </si>
  <si>
    <t>Always welcome</t>
  </si>
  <si>
    <t>Thanks for the giving latest updates</t>
  </si>
  <si>
    <t>tq bro please subscribe my channel</t>
  </si>
  <si>
    <t>Good job bro, thank you</t>
  </si>
  <si>
    <t>Good job bro</t>
  </si>
  <si>
    <t>Excelente.</t>
  </si>
  <si>
    <t>Me sirve para logistica, 6 transportistas a donde van y optimizar cargas y destinos. Gracias</t>
  </si>
  <si>
    <t>Excelente me alegra que sea de tu utilidad.</t>
  </si>
  <si>
    <t>Yo en Finanzas no se me ocurre cómo usarlo, pero es interesante saber que existe.</t>
  </si>
  <si>
    <t>Gracias por compartir sigue así, éxitos</t>
  </si>
  <si>
    <t>Welcome Amit! _xD83D__xDC4A_</t>
  </si>
  <si>
    <t>&lt;a href="http://www.youtube.com/results?search_query=%23new"&gt;#new&lt;/a&gt;</t>
  </si>
  <si>
    <t>Not enough info to answer. Please provide more details or post a longer form post on &lt;a href="https://community.powerbi.com/"&gt;https://community.powerbi.com&lt;/a&gt;</t>
  </si>
  <si>
    <t>Hello the experts out there , i&amp;#39;ve been trying for a while to import data from the web in power bi. But my problem is that i need first to connect before getting the data. Any one here an idea on how to access those datas ???</t>
  </si>
  <si>
    <t>@Guy in a Cube Ok then i will do that !!</t>
  </si>
  <si>
    <t>Ok</t>
  </si>
  <si>
    <t>Power query karwa diziye</t>
  </si>
  <si>
    <t>@Teach To Each thanx sir magar ye bhi batana ki excel se kaise karte hai aur power bi se kaise thanx</t>
  </si>
  <si>
    <t>@Teach To Each thanx sir excel mai bi batana love u</t>
  </si>
  <si>
    <t>@Pavan Lalwani okk sir will u make complete bi with practise sheets as. Well as m languages also ??</t>
  </si>
  <si>
    <t>Great to hear!</t>
  </si>
  <si>
    <t>This presentation was exactly what I needed. Thank you so much guys!</t>
  </si>
  <si>
    <t>Thanks Sudeep</t>
  </si>
  <si>
    <t>Keep rocking!</t>
  </si>
  <si>
    <t>Thanks. I will post more videos soon.</t>
  </si>
  <si>
    <t>Very useful and  awaiting for  more power bi and advanced excel videos</t>
  </si>
  <si>
    <t>Thanks Sakthi</t>
  </si>
  <si>
    <t>Really awesome Ji_xD83D__xDD25__xD83D__xDD25__xD83D__xDC4C__xD83D__xDC4C__xD83D__xDC4C_</t>
  </si>
  <si>
    <t>Olá teria que verificar se não existe algum filtro aplicado no Power Query...temos uma equipe de consultoria que talvez possa te ajudar entra emc ontato pelo consultorias@&lt;a href="http://planilheiros.com.br/"&gt;planilheiros.com.br&lt;/a&gt;</t>
  </si>
  <si>
    <t>MrLulisky</t>
  </si>
  <si>
    <t>Planilheiros</t>
  </si>
  <si>
    <t>Eliseuda Brito</t>
  </si>
  <si>
    <t>MANTUL MancingTulang</t>
  </si>
  <si>
    <t>BI Elite</t>
  </si>
  <si>
    <t>Raphael Pacheco</t>
  </si>
  <si>
    <t>Mario Böhme</t>
  </si>
  <si>
    <t>CFosund</t>
  </si>
  <si>
    <t>Sourav Agasti</t>
  </si>
  <si>
    <t>tejas brahmbatt</t>
  </si>
  <si>
    <t>Yagel Hen</t>
  </si>
  <si>
    <t>Nir Robinson</t>
  </si>
  <si>
    <t>Federico De Filippi</t>
  </si>
  <si>
    <t>Nicky van Vroenhoven</t>
  </si>
  <si>
    <t>Guy in a Cube</t>
  </si>
  <si>
    <t>Chris Wagner</t>
  </si>
  <si>
    <t>Nate Brunner</t>
  </si>
  <si>
    <t>Stephen Engineer</t>
  </si>
  <si>
    <t>Sébastien Derivaux</t>
  </si>
  <si>
    <t>Aditya K</t>
  </si>
  <si>
    <t>Zig Baird</t>
  </si>
  <si>
    <t>Adolfo Socorro</t>
  </si>
  <si>
    <t>João Luis Baldo Martins</t>
  </si>
  <si>
    <t>shiva kumar</t>
  </si>
  <si>
    <t>Fred Kaffenberger</t>
  </si>
  <si>
    <t>medisetty rajesh</t>
  </si>
  <si>
    <t>Cyril Gagnaire</t>
  </si>
  <si>
    <t>Pieter Steenssens</t>
  </si>
  <si>
    <t>Aaron Moody</t>
  </si>
  <si>
    <t>L Capitan</t>
  </si>
  <si>
    <t>Brian Peters</t>
  </si>
  <si>
    <t>Judy Fernandez</t>
  </si>
  <si>
    <t>MATIWOS GEBREMICHAEL</t>
  </si>
  <si>
    <t>Arklur</t>
  </si>
  <si>
    <t>RamsesKZ</t>
  </si>
  <si>
    <t>Rafal Szczepaniak</t>
  </si>
  <si>
    <t>Sandeep Reddy</t>
  </si>
  <si>
    <t>MyMACChannel</t>
  </si>
  <si>
    <t>wisid</t>
  </si>
  <si>
    <t>Jaime Molina</t>
  </si>
  <si>
    <t>Kim</t>
  </si>
  <si>
    <t>Patrick Booth</t>
  </si>
  <si>
    <t>Thomas Ivarsson</t>
  </si>
  <si>
    <t>The Nomad</t>
  </si>
  <si>
    <t>Omkar Saste</t>
  </si>
  <si>
    <t>Scott Schuler</t>
  </si>
  <si>
    <t>shaurya mittal</t>
  </si>
  <si>
    <t>Heather R</t>
  </si>
  <si>
    <t>Sujit Thakur</t>
  </si>
  <si>
    <t>Tareq Alkatout</t>
  </si>
  <si>
    <t>nieck de klein</t>
  </si>
  <si>
    <t>Michel M</t>
  </si>
  <si>
    <t>Enterprise DNA</t>
  </si>
  <si>
    <t>Vida</t>
  </si>
  <si>
    <t>Sudhir Abhange</t>
  </si>
  <si>
    <t>Power Bi Tutorials</t>
  </si>
  <si>
    <t>Girish Panda</t>
  </si>
  <si>
    <t>Leonardo Karpinski - Mestre Power BI</t>
  </si>
  <si>
    <t>Oscar Katsinis</t>
  </si>
  <si>
    <t>Bruno Rubino</t>
  </si>
  <si>
    <t>Bruno Sávio</t>
  </si>
  <si>
    <t>Calvin Iost</t>
  </si>
  <si>
    <t>Diego Ferreira</t>
  </si>
  <si>
    <t>Edenir de Souza</t>
  </si>
  <si>
    <t>Curbal</t>
  </si>
  <si>
    <t>Donald Parish</t>
  </si>
  <si>
    <t>Phoenixspin</t>
  </si>
  <si>
    <t>Pierre-Hadrien ROSINACH</t>
  </si>
  <si>
    <t>yobybaduk</t>
  </si>
  <si>
    <t>Thi Hai Ha Hoang</t>
  </si>
  <si>
    <t>Aaditya Hamine</t>
  </si>
  <si>
    <t>Emir Tuncer</t>
  </si>
  <si>
    <t>Power BI Israel</t>
  </si>
  <si>
    <t>Reza Dorrani</t>
  </si>
  <si>
    <t>Mohammed Moosa Laghari</t>
  </si>
  <si>
    <t>Daniel A. D Amico</t>
  </si>
  <si>
    <t>Avinoam Rothenberg</t>
  </si>
  <si>
    <t>Sundra Pillay</t>
  </si>
  <si>
    <t>Daniel Christian</t>
  </si>
  <si>
    <t>Aprende y Enseña Excel</t>
  </si>
  <si>
    <t>RFB Sistemas</t>
  </si>
  <si>
    <t>Manoel Carlos De Oliveira Ramos Junior</t>
  </si>
  <si>
    <t>Ester Mantoan</t>
  </si>
  <si>
    <t>Data Marketing</t>
  </si>
  <si>
    <t>Thiago Sousa</t>
  </si>
  <si>
    <t>Rodrigo Almas</t>
  </si>
  <si>
    <t>Data &amp; E-commerce - Weslly Silva</t>
  </si>
  <si>
    <t>L</t>
  </si>
  <si>
    <t>Syed Mukram</t>
  </si>
  <si>
    <t>Angela &amp; Roger Burtenshaw</t>
  </si>
  <si>
    <t>Excel Campus - Jon</t>
  </si>
  <si>
    <t>AHM Kowser</t>
  </si>
  <si>
    <t>Hendrik Lategan</t>
  </si>
  <si>
    <t>darryl morgan</t>
  </si>
  <si>
    <t>lonku</t>
  </si>
  <si>
    <t>rahul sharma</t>
  </si>
  <si>
    <t>Kurt M</t>
  </si>
  <si>
    <t>John Monroe</t>
  </si>
  <si>
    <t>Carl de Souza</t>
  </si>
  <si>
    <t>Jeffrey Orris</t>
  </si>
  <si>
    <t>Shafiuddin Mohammed</t>
  </si>
  <si>
    <t>Igor Shvets</t>
  </si>
  <si>
    <t>SS UNITECH</t>
  </si>
  <si>
    <t>RAJENDRAN V</t>
  </si>
  <si>
    <t>Cric Lover</t>
  </si>
  <si>
    <t>Dan Szepesi</t>
  </si>
  <si>
    <t>Jokoams</t>
  </si>
  <si>
    <t>Grant Culp</t>
  </si>
  <si>
    <t>arnohoedelmans</t>
  </si>
  <si>
    <t>Chandan Gadodia</t>
  </si>
  <si>
    <t>Gulherme Pereira</t>
  </si>
  <si>
    <t>Fernando Calero</t>
  </si>
  <si>
    <t>Andrew Tuplin</t>
  </si>
  <si>
    <t>Jesse Cox</t>
  </si>
  <si>
    <t>Anthony P Cheng</t>
  </si>
  <si>
    <t>Ranjan Mehta</t>
  </si>
  <si>
    <t>Power BI na Real</t>
  </si>
  <si>
    <t>Wilde Correa</t>
  </si>
  <si>
    <t>Gustavo Faria</t>
  </si>
  <si>
    <t>MSBI ninja</t>
  </si>
  <si>
    <t>leo iakovlev</t>
  </si>
  <si>
    <t>laxmi skills</t>
  </si>
  <si>
    <t>سعود الريشي</t>
  </si>
  <si>
    <t>suresh Kumar</t>
  </si>
  <si>
    <t>رواق التعليم</t>
  </si>
  <si>
    <t>bureau informatique</t>
  </si>
  <si>
    <t>الطالب الباحث: بدر المرابط</t>
  </si>
  <si>
    <t>Teach To Each</t>
  </si>
  <si>
    <t>manit kanojia</t>
  </si>
  <si>
    <t>ravi ranjan</t>
  </si>
  <si>
    <t>sukhdev singh</t>
  </si>
  <si>
    <t>Pavan Lalwani</t>
  </si>
  <si>
    <t>KARTHICKRAJA</t>
  </si>
  <si>
    <t>Krishna Shukla</t>
  </si>
  <si>
    <t>Madhu Sudhan Reddy</t>
  </si>
  <si>
    <t>Learn DAX</t>
  </si>
  <si>
    <t>Lucky Mane</t>
  </si>
  <si>
    <t>excel job</t>
  </si>
  <si>
    <t>ashish mohan</t>
  </si>
  <si>
    <t>ajay malpani</t>
  </si>
  <si>
    <t>ashish barwad</t>
  </si>
  <si>
    <t>Pravin Singh</t>
  </si>
  <si>
    <t>SAKET KUMAR</t>
  </si>
  <si>
    <t>Anu M</t>
  </si>
  <si>
    <t>Suresh Seethapathy</t>
  </si>
  <si>
    <t>Hemant Gund</t>
  </si>
  <si>
    <t>Santosh Gupta</t>
  </si>
  <si>
    <t>Nestor Adrianzen</t>
  </si>
  <si>
    <t>Carlos Alvarez Solis</t>
  </si>
  <si>
    <t>mohd muzammil</t>
  </si>
  <si>
    <t>Way2Excel</t>
  </si>
  <si>
    <t>madhu m</t>
  </si>
  <si>
    <t>v sr</t>
  </si>
  <si>
    <t>Tutoliber</t>
  </si>
  <si>
    <t>totvabe1</t>
  </si>
  <si>
    <t>Ernesto Cornejo</t>
  </si>
  <si>
    <t>Amit Upadhyay</t>
  </si>
  <si>
    <t>Jean-Louis Manga</t>
  </si>
  <si>
    <t>Two Alex's</t>
  </si>
  <si>
    <t>Christian V</t>
  </si>
  <si>
    <t>5 minute formula</t>
  </si>
  <si>
    <t>Em Sudeep</t>
  </si>
  <si>
    <t>New Learnings</t>
  </si>
  <si>
    <t>Sakthi Vel</t>
  </si>
  <si>
    <t>UgzS5hk57Gmp_qbpXmh4AaABAg</t>
  </si>
  <si>
    <t>Ugzcyfn4cuGjXbAjEZt4AaABAg</t>
  </si>
  <si>
    <t>UgxgBM9xJ34L83Goc_h4AaABAg</t>
  </si>
  <si>
    <t>Ugx7RfzMS7cPFIAqRkt4AaABAg</t>
  </si>
  <si>
    <t>Ugz_6fdd3LqKGZRgcnN4AaABAg</t>
  </si>
  <si>
    <t>Ugxw1xe7FK46YwyvNq54AaABAg</t>
  </si>
  <si>
    <t>Ugw9xuGB1F0sGkgM4xt4AaABAg</t>
  </si>
  <si>
    <t>Ugz4G970jUO4rIbKaO14AaABAg</t>
  </si>
  <si>
    <t>Ugy_BL91q_J7olS4kBB4AaABAg</t>
  </si>
  <si>
    <t>UgwbWsx7l31OdaBp_zZ4AaABAg</t>
  </si>
  <si>
    <t>Ugz3YzHMIvxhdg7rsQN4AaABAg</t>
  </si>
  <si>
    <t>UgwCVbp9SlMGU_dIjmZ4AaABAg</t>
  </si>
  <si>
    <t>UgxLgP2ALLbKb04wyTF4AaABAg</t>
  </si>
  <si>
    <t>UgzCLfOUf3TC2r1wQsF4AaABAg</t>
  </si>
  <si>
    <t>UgyWrhkTkU4eeQLuZqJ4AaABAg</t>
  </si>
  <si>
    <t>UgwXvCHKOUI7sOCmJkh4AaABAg</t>
  </si>
  <si>
    <t>Ugy5SpRWiqcONS1hiSl4AaABAg</t>
  </si>
  <si>
    <t>UgyNMoOpKk1DMz0e8UJ4AaABAg</t>
  </si>
  <si>
    <t>Ugykg7fk78Dll5egzrR4AaABAg</t>
  </si>
  <si>
    <t>Ugxx-bAzWVDWNLmOnAt4AaABAg</t>
  </si>
  <si>
    <t>UgzyCHycIzjX9XL4dHd4AaABAg</t>
  </si>
  <si>
    <t>Ugz_a13Orn9MpSAPDYh4AaABAg</t>
  </si>
  <si>
    <t>Ugy8ciiQ0Jzt53pHnrZ4AaABAg</t>
  </si>
  <si>
    <t>UgxqyOaUtPvUwG7Pd0B4AaABAg</t>
  </si>
  <si>
    <t>UgwVLDY_7vQHxkuXyzl4AaABAg</t>
  </si>
  <si>
    <t>Ugzzpt5apRZbGvb2J7d4AaABAg</t>
  </si>
  <si>
    <t>UgwBHn3apPAaKMdH7Dh4AaABAg</t>
  </si>
  <si>
    <t>Ugw5fhQx-Vl4PJGGW3d4AaABAg</t>
  </si>
  <si>
    <t>Ugyv-zKVEJHJOL5_iVF4AaABAg</t>
  </si>
  <si>
    <t>UgwpIkhiWip5GSNt6J54AaABAg</t>
  </si>
  <si>
    <t>UgyNFsNrTBWUNj61i7h4AaABAg</t>
  </si>
  <si>
    <t>UgzOnzie1U-PSa6WpC54AaABAg</t>
  </si>
  <si>
    <t>Ugy9-EfpgDRRsCGKUax4AaABAg</t>
  </si>
  <si>
    <t>UgzLUMoqetAguO1epNR4AaABAg</t>
  </si>
  <si>
    <t>UgzoDdWlPnUUgMMhL6t4AaABAg</t>
  </si>
  <si>
    <t>Ugx1_n9CcaMQZ0f6MZl4AaABAg</t>
  </si>
  <si>
    <t>UgzW0RYtqzGVG1PsmoV4AaABAg</t>
  </si>
  <si>
    <t>UgzKgopl3rLoz8eZ9Bt4AaABAg</t>
  </si>
  <si>
    <t>UgwLO7Bu6Vq4CFev-YJ4AaABAg</t>
  </si>
  <si>
    <t>UgyB08Pz2vdh8ocwyVF4AaABAg</t>
  </si>
  <si>
    <t>UgyRU3aXxnBH6x-Yqp54AaABAg</t>
  </si>
  <si>
    <t>UgySddn-9BOx7wGfok54AaABAg</t>
  </si>
  <si>
    <t>UgwvROeLrvnLf77uS894AaABAg</t>
  </si>
  <si>
    <t>UgyZ2XV9SJU1yWcr1294AaABAg</t>
  </si>
  <si>
    <t>Ugz0nbiTkvI0ObKzcDV4AaABAg</t>
  </si>
  <si>
    <t>UgwSY_tPKScRVtheQoh4AaABAg</t>
  </si>
  <si>
    <t>UgwJuOzyge-xnNtp8mV4AaABAg</t>
  </si>
  <si>
    <t>UgzYyG_T0IE_NaOdgbR4AaABAg</t>
  </si>
  <si>
    <t>UgwT8WvvVRhfPRF1hJ94AaABAg</t>
  </si>
  <si>
    <t>UgzAEg2tLxX1bQ7ShHd4AaABAg</t>
  </si>
  <si>
    <t>UgxK3fQ4mJxnVStM9W14AaABAg</t>
  </si>
  <si>
    <t>UgzTx6xkW5Gv7ZtO14N4AaABAg</t>
  </si>
  <si>
    <t>UgzV63T2fSYIQ9rStVx4AaABAg</t>
  </si>
  <si>
    <t>UgxoWDjI0BhMykPR69N4AaABAg</t>
  </si>
  <si>
    <t>UgwODASYlqtGZ2wcPBR4AaABAg</t>
  </si>
  <si>
    <t>UgxiLkrxPtzglZ1f00p4AaABAg</t>
  </si>
  <si>
    <t>Ugw8-M1HGgGTPMMUsgp4AaABAg</t>
  </si>
  <si>
    <t>UgzZJifrHzmNXSkIP8R4AaABAg</t>
  </si>
  <si>
    <t>UgwtbfvH_u94h8QUmVV4AaABAg</t>
  </si>
  <si>
    <t>UgwEnhV6eApxWtug2Ct4AaABAg</t>
  </si>
  <si>
    <t>UgzEXxH3GaJLH7bXNEl4AaABAg</t>
  </si>
  <si>
    <t>Ugxa0iFAzd6MzyR2FJh4AaABAg</t>
  </si>
  <si>
    <t>Ugw8KyhB0_jFb6aI_5F4AaABAg</t>
  </si>
  <si>
    <t>UgzgcRrEeNCgZPQra_14AaABAg</t>
  </si>
  <si>
    <t>Ugyx3Q94d8opzJsi5ed4AaABAg</t>
  </si>
  <si>
    <t>Ugwmr8BKpsze9wKpvMN4AaABAg</t>
  </si>
  <si>
    <t>UgzFaIdqrCB_C4pEEbN4AaABAg</t>
  </si>
  <si>
    <t>Ugwt1pM-ZU_6f_A_VXl4AaABAg</t>
  </si>
  <si>
    <t>UgwES8Z8nhmRVStrUKV4AaABAg</t>
  </si>
  <si>
    <t>Ugxorfj0xSI3MzbiPTF4AaABAg</t>
  </si>
  <si>
    <t>UgyO3W6ZpRD3qEV0ODJ4AaABAg</t>
  </si>
  <si>
    <t>UgyWP7pnaz9UFfUhcNd4AaABAg</t>
  </si>
  <si>
    <t>UgwMT9PF5eXprCQEkYd4AaABAg</t>
  </si>
  <si>
    <t>UgxNq9dOO7FG3plkjqZ4AaABAg</t>
  </si>
  <si>
    <t>UgzHTnE07bZtKV6LI9t4AaABAg</t>
  </si>
  <si>
    <t>Ugz3Eqa7bewykL_-aqR4AaABAg</t>
  </si>
  <si>
    <t>Ugz5m9nhv_mmwKDeveN4AaABAg</t>
  </si>
  <si>
    <t>UgyB_HvvxVRF6GCiaHB4AaABAg</t>
  </si>
  <si>
    <t>UgzQNARl-zCYfasNlNd4AaABAg</t>
  </si>
  <si>
    <t>UgwtOX991rGPLy8K2o14AaABAg</t>
  </si>
  <si>
    <t>UgydJQmagPfB6KFskNZ4AaABAg</t>
  </si>
  <si>
    <t>UgxiyL6P545UkhtK1DN4AaABAg</t>
  </si>
  <si>
    <t>UgyLIdh85uKCiX-0QjR4AaABAg</t>
  </si>
  <si>
    <t>UgzjKid0Mb1O49TDHpp4AaABAg</t>
  </si>
  <si>
    <t>UgwlrafYxw5LBx6WrVF4AaABAg</t>
  </si>
  <si>
    <t>UgzqRTgWd6vTEu3t-CV4AaABAg</t>
  </si>
  <si>
    <t>UgwLSMFs8EwimuPmysh4AaABAg</t>
  </si>
  <si>
    <t>UgxjeTSVM8Vi6Lsr2Dp4AaABAg</t>
  </si>
  <si>
    <t>Ugx0sK1weqgLzyS96Dl4AaABAg</t>
  </si>
  <si>
    <t>Ugzok_1WVZl3fri-OV54AaABAg</t>
  </si>
  <si>
    <t>UgyfiZRPgDLE3eK93s54AaABAg</t>
  </si>
  <si>
    <t>Ugzg8HwaDsHW5h-W7Mh4AaABAg</t>
  </si>
  <si>
    <t>UgzJFETG2TrqhvNAZsN4AaABAg</t>
  </si>
  <si>
    <t>UgzUVH_zVcYd1lLnFO94AaABAg</t>
  </si>
  <si>
    <t>UgyVAP22AUXHIfOR-_54AaABAg</t>
  </si>
  <si>
    <t>Ugwdqv6AIRuPoc-inSB4AaABAg</t>
  </si>
  <si>
    <t>Ugy6Dg2hZXJnmPKeyet4AaABAg</t>
  </si>
  <si>
    <t>Ugxn3mdH5eWj51vtnHB4AaABAg</t>
  </si>
  <si>
    <t>UgwZUbttXI_T8kWTVwd4AaABAg</t>
  </si>
  <si>
    <t>UgwQn5EZChsO8P7SPjJ4AaABAg</t>
  </si>
  <si>
    <t>Ugzf9zQNgUrLXA9TqHl4AaABAg</t>
  </si>
  <si>
    <t>Ugz0x2XNgSRUGsVsBEN4AaABAg</t>
  </si>
  <si>
    <t>UgxX_i4MksBNQYFze8J4AaABAg</t>
  </si>
  <si>
    <t>UgxT4eizVAkTC2YSIv94AaABAg</t>
  </si>
  <si>
    <t>UgyX4ktmOGlEKTlQqNV4AaABAg</t>
  </si>
  <si>
    <t>UgyeBJNRpsGCoYzTMbt4AaABAg</t>
  </si>
  <si>
    <t>UgzjQgmPsZv_GYraFUx4AaABAg</t>
  </si>
  <si>
    <t>UgyqX18sP3EfOmEoFJx4AaABAg</t>
  </si>
  <si>
    <t>UgyuB98lsQbXjD4YkQh4AaABAg</t>
  </si>
  <si>
    <t>UgzMXEO2cK-UYJVKxVJ4AaABAg</t>
  </si>
  <si>
    <t>Ugxg3zms5LQAwAWTufd4AaABAg</t>
  </si>
  <si>
    <t>UgyLUvd5hGCQtw-UTAh4AaABAg</t>
  </si>
  <si>
    <t>UgxN9fYFznq-7OZmCWl4AaABAg</t>
  </si>
  <si>
    <t>UgwSpq6-UjR9JgZTJkZ4AaABAg</t>
  </si>
  <si>
    <t>UgxkA7bf64NuYsju1IN4AaABAg</t>
  </si>
  <si>
    <t>UgyI_YPtbECqajJqqHF4AaABAg</t>
  </si>
  <si>
    <t>UgxPH8nqLTJK3DQY9KJ4AaABAg</t>
  </si>
  <si>
    <t>UgyHsrnStsVqYYsOgcR4AaABAg</t>
  </si>
  <si>
    <t>UgwYNyp7_GMcZd7FlW54AaABAg</t>
  </si>
  <si>
    <t>UgwNnSwz6JZit3fAobZ4AaABAg</t>
  </si>
  <si>
    <t>UgzWQC9MUgjwUv7Yilp4AaABAg</t>
  </si>
  <si>
    <t>Ugz9YRIk44XWSF0VItF4AaABAg</t>
  </si>
  <si>
    <t>Ugx50RO6dt2TX8vHcUt4AaABAg</t>
  </si>
  <si>
    <t>UgxwMiKSwPH95EhMCE94AaABAg</t>
  </si>
  <si>
    <t>stXFmnQF9zg</t>
  </si>
  <si>
    <t>01b8CNNiqMI</t>
  </si>
  <si>
    <t>cTqFNg_y9lw</t>
  </si>
  <si>
    <t>oN6mOmEruOQ</t>
  </si>
  <si>
    <t>iveCss_hzDo</t>
  </si>
  <si>
    <t>UJdJffYWo5w</t>
  </si>
  <si>
    <t>JLwYv2Ok6XY</t>
  </si>
  <si>
    <t>zXJphXou0TE</t>
  </si>
  <si>
    <t>NTUfX9HNdK0</t>
  </si>
  <si>
    <t>S_uhR0FTxrk</t>
  </si>
  <si>
    <t>ve2WnwKH8qQ</t>
  </si>
  <si>
    <t>hSpuKSUQv9s</t>
  </si>
  <si>
    <t>C6vqy30PDnE</t>
  </si>
  <si>
    <t>lyHqb2T7XAI</t>
  </si>
  <si>
    <t>ahkB4Lj7kjA</t>
  </si>
  <si>
    <t>14KCckNbmvs</t>
  </si>
  <si>
    <t>C9afvnws3KE</t>
  </si>
  <si>
    <t>Ieh0EhJzJgo</t>
  </si>
  <si>
    <t>umBP2NJTi7E</t>
  </si>
  <si>
    <t>FM4zsUFg_iE</t>
  </si>
  <si>
    <t>DBPmRIZMIFY</t>
  </si>
  <si>
    <t>E6R3U3d90Zs</t>
  </si>
  <si>
    <t>TgZnMmeXoDI</t>
  </si>
  <si>
    <t>YXVWwpLmfr0</t>
  </si>
  <si>
    <t>H84UJn1CiWo</t>
  </si>
  <si>
    <t>reMTzRcLzBw</t>
  </si>
  <si>
    <t>6vJIAJNTdG0</t>
  </si>
  <si>
    <t>XDmnHdGD5iE</t>
  </si>
  <si>
    <t>oVhk6C3hzvk</t>
  </si>
  <si>
    <t>f9gYFWp4Zb4</t>
  </si>
  <si>
    <t>lDH6jvTs96A</t>
  </si>
  <si>
    <t>eUiSVGoMnPA</t>
  </si>
  <si>
    <t>cDs0Ua7zmSM</t>
  </si>
  <si>
    <t xml:space="preserve"> https://powerpivotpro.com/2019/01/dst-refresh-date-function-power-bi-service/ https://powerpivotpro.com/2019/01/dst-refresh-date-function-power-bi-service/</t>
  </si>
  <si>
    <t xml:space="preserve"> http://www.youtube.com/results?search_query=%23table</t>
  </si>
  <si>
    <t xml:space="preserve"> https://www.youtube.com/watch?v=oN6mOmEruOQ&amp;amp;t=10h00m00s https://www.youtube.com/watch?v=oN6mOmEruOQ&amp;amp;t=11h00m00s https://www.youtube.com/watch?v=oN6mOmEruOQ&amp;amp;t=10h00m02s</t>
  </si>
  <si>
    <t xml:space="preserve"> https://docs.microsoft.com/en-us/sql/t-sql/queries/at-time-zone-transact-sql?view=sql-server-ver15 https://docs.microsoft.com/en-us/sql/t-sql/queries/at-time-zone-transact-sql?view=sql-server-ver15 http://worldtimeapi.org/api/timezone/Europe/Warsaw http://worldtimeapi.org/api/timezone/Europe/Warsaw http://worldtimeapi.org/ http://worldtimeapi.org/ http://worldtimeapi.org/timezones http://worldtimeapi.org/timezones</t>
  </si>
  <si>
    <t xml:space="preserve"> https://www.youtube.com/watch?v=zXJphXou0TE&amp;amp;t=2m29s</t>
  </si>
  <si>
    <t xml:space="preserve"> https://bit.ly/35weflW https://bit.ly/35weflW https://bit.ly/2mkyaDj https://bit.ly/2mkyaDj</t>
  </si>
  <si>
    <t xml:space="preserve"> https://cutt.ly/5uxkOlk https://cutt.ly/5uxkOlk https://bit.ly/2mkyaDj https://bit.ly/2mkyaDj</t>
  </si>
  <si>
    <t xml:space="preserve"> http://gmail.com/</t>
  </si>
  <si>
    <t xml:space="preserve"> https://www.youtube.com/watch?v=9SV2VnYbgg4 https://www.youtube.com/watch?v=9SV2VnYbgg4</t>
  </si>
  <si>
    <t xml:space="preserve"> https://www.youtube.com/watch?v=eABg872TAJU https://www.youtube.com/watch?v=eABg872TAJU</t>
  </si>
  <si>
    <t xml:space="preserve"> https://www.sqlbi.com/blog/alberto/2020/06/20/7-reasons-dax-is-not-easy/ https://www.sqlbi.com/blog/alberto/2020/06/20/7-reasons-dax-is-not-easy/</t>
  </si>
  <si>
    <t xml:space="preserve"> https://github.com/DaxStudio/DaxStudio/commit/f9ee1a2502b437b2ee37b1eaad7f7c855733c156 https://github.com/DaxStudio/DaxStudio/commit/f9ee1a2502b437b2ee37b1eaad7f7c855733c156</t>
  </si>
  <si>
    <t xml:space="preserve"> http://www.youtube.com/results?search_query=%23tmj</t>
  </si>
  <si>
    <t xml:space="preserve"> https://www.youtube.com/playlist?list=PL6Omre3duO-NR2EBDPu0MOCXsAVpSIwgX https://www.youtube.com/playlist?list=PL6Omre3duO-NR2EBDPu0MOCXsAVpSIwgX</t>
  </si>
  <si>
    <t xml:space="preserve"> https://www.learndax.com/power-bi-sample-data-for-beginners-to-download/ https://www.learndax.com/power-bi-sample-data-for-beginners-to-download/</t>
  </si>
  <si>
    <t xml:space="preserve"> http://vba.net/</t>
  </si>
  <si>
    <t xml:space="preserve"> http://www.youtube.com/results?search_query=%23new</t>
  </si>
  <si>
    <t xml:space="preserve"> https://community.powerbi.com/ https://community.powerbi.com</t>
  </si>
  <si>
    <t xml:space="preserve"> http://planilheiros.com.br/</t>
  </si>
  <si>
    <t>powerpivotpro.com powerpivotpro.com</t>
  </si>
  <si>
    <t>youtube.com youtube.com youtube.com</t>
  </si>
  <si>
    <t>microsoft.com microsoft.com worldtimeapi.org worldtimeapi.org worldtimeapi.org worldtimeapi.org worldtimeapi.org worldtimeapi.org</t>
  </si>
  <si>
    <t>bit.ly bit.ly bit.ly bit.ly</t>
  </si>
  <si>
    <t>cutt.ly cutt.ly bit.ly bit.ly</t>
  </si>
  <si>
    <t>gmail.com</t>
  </si>
  <si>
    <t>sqlbi.com sqlbi.com</t>
  </si>
  <si>
    <t>github.com github.com</t>
  </si>
  <si>
    <t>learndax.com learndax.com</t>
  </si>
  <si>
    <t>vba.net</t>
  </si>
  <si>
    <t>powerbi.com powerbi.com</t>
  </si>
  <si>
    <t>com.br</t>
  </si>
  <si>
    <t>UCn4Y0Ej7Vu3rO84e_aD28lg</t>
  </si>
  <si>
    <t>UCfKlAQp4wC_pRpYt7clm70Q</t>
  </si>
  <si>
    <t>UCr-BhlXQxZnRNoVxrLj2tOA</t>
  </si>
  <si>
    <t>UCYYHFZpm5GbaOmQKDNSTGLw</t>
  </si>
  <si>
    <t>UCw0leRmeaX7R_9BDd3TvCzg</t>
  </si>
  <si>
    <t>UCfuI_wumLVgxvc8kFboJUzg</t>
  </si>
  <si>
    <t>UCpYPSoXQ4egc1p2ni6fRKLQ</t>
  </si>
  <si>
    <t>UC1JHzu9hLCW3FdsMd6XdDsA</t>
  </si>
  <si>
    <t>UCABYkXnp9d1t1LTj81W-1_A</t>
  </si>
  <si>
    <t>UCHFm58gPIbuW4nToartlsjw</t>
  </si>
  <si>
    <t>UC7NxQG493CHvzC4nEFM50Sg</t>
  </si>
  <si>
    <t>UCuyo2-m4oD4yiCb3bMMJnEQ</t>
  </si>
  <si>
    <t>UCENbpaPgVhO2GtlNcwAJ8mA</t>
  </si>
  <si>
    <t>UCcc21gBGNJwZM_eDEByeN-Q</t>
  </si>
  <si>
    <t>UCRNmSv7mAPYiC0Y40TJijAw</t>
  </si>
  <si>
    <t>UC6NOaoqCfTdQcZzZGPkCupg</t>
  </si>
  <si>
    <t>UCn4VeDiC0EajANVgnd72wHg</t>
  </si>
  <si>
    <t>UCgUdsjOxUNqi--7ZLzOoPuw</t>
  </si>
  <si>
    <t>UCGSdeNKceFrKncdRhQwBhSQ</t>
  </si>
  <si>
    <t>UCvgzmrFnvVSj7soopaNT_1A</t>
  </si>
  <si>
    <t>UC3wJKzxWH72JKqpOMdn3B6w</t>
  </si>
  <si>
    <t>UCzjnVUKZ8oKniaAq6SA7vIw</t>
  </si>
  <si>
    <t>UCOMG0iHHi27owoyxGvURxiQ</t>
  </si>
  <si>
    <t>UCgRzOTVWlyshyIgmxtbYgaQ</t>
  </si>
  <si>
    <t>UCs2OkG6BtmlalVOYEt7AW1Q</t>
  </si>
  <si>
    <t>UChhUGANsGsgbxFeO__iXEOw</t>
  </si>
  <si>
    <t>UCfQvvdr6DXg5z0MuoaKISVw</t>
  </si>
  <si>
    <t>UCUuuh6NHXovJb4xF374fFOw</t>
  </si>
  <si>
    <t>UCfXiJFEcztTpMmEDT0I8cPg</t>
  </si>
  <si>
    <t>UC5CugyvTdOloiuTc9nN09TA</t>
  </si>
  <si>
    <t>UCvfxanLbaBE3QxZr-PU5vyQ</t>
  </si>
  <si>
    <t>UC6DnLOwz8R0iZPmkZ3vMM1g</t>
  </si>
  <si>
    <t>UCasv6yWENVQcyAYlS5hJwuw</t>
  </si>
  <si>
    <t>UClx37i2cm-CotklDUfWTNHw</t>
  </si>
  <si>
    <t>UCn_HqolLo2QdgOxcCbaLEYQ</t>
  </si>
  <si>
    <t>UC3tHGWrRewOoNkvf8STvN-w</t>
  </si>
  <si>
    <t>UCk8mTJ3mxP9Enl1hAVut32w</t>
  </si>
  <si>
    <t>Reandri Techno</t>
  </si>
  <si>
    <t>APPRENDRE EXCEL</t>
  </si>
  <si>
    <t>UpDegree</t>
  </si>
  <si>
    <t>Wise Cat Noro Boris</t>
  </si>
  <si>
    <t>Ricardo Contreras</t>
  </si>
  <si>
    <t>Learn 2 Excel</t>
  </si>
  <si>
    <t>Hashtag Treinamentos</t>
  </si>
  <si>
    <t>DataVeld</t>
  </si>
  <si>
    <t>biova consulting</t>
  </si>
  <si>
    <t>Monika Patricia Ortiz Jerez</t>
  </si>
  <si>
    <t>Activan BI</t>
  </si>
  <si>
    <t>ritesh sharma</t>
  </si>
  <si>
    <t>Essence of Learning</t>
  </si>
  <si>
    <t>jjjiiinnniii</t>
  </si>
  <si>
    <t>Túlio Melibeu</t>
  </si>
  <si>
    <t>SQLBI</t>
  </si>
  <si>
    <t>Avi Singh - PowerBIPro</t>
  </si>
  <si>
    <t>Bim Services</t>
  </si>
  <si>
    <t>ML For Analytics</t>
  </si>
  <si>
    <t>Francisco A de A</t>
  </si>
  <si>
    <t>Insync Buiness Solutions</t>
  </si>
  <si>
    <t>Pentiago 365</t>
  </si>
  <si>
    <t>Hemanth Boddapu</t>
  </si>
  <si>
    <t>Azi Network</t>
  </si>
  <si>
    <t>Analytics with Nags</t>
  </si>
  <si>
    <t>Azure Brasil - Comunidade Técnica</t>
  </si>
  <si>
    <t>Cristobal Ibarra</t>
  </si>
  <si>
    <t>Iteration Insights</t>
  </si>
  <si>
    <t>AFRAC</t>
  </si>
  <si>
    <t>Ken Puls</t>
  </si>
  <si>
    <t>London Business Analytics Group</t>
  </si>
  <si>
    <t>Pragmatic Works</t>
  </si>
  <si>
    <t>Excel Free Blog</t>
  </si>
  <si>
    <t>datdata</t>
  </si>
  <si>
    <t>Mestres BI</t>
  </si>
  <si>
    <t>Belajar Excel</t>
  </si>
  <si>
    <t>菜鳥救星</t>
  </si>
  <si>
    <t>justB</t>
  </si>
  <si>
    <t>Berbagi tentang seputaran mancing &amp; tutorial</t>
  </si>
  <si>
    <t>Power BI and DAX tips and tricks from a Microsoft Data Platform MVP. This channel is designed to teach you how to get the most out of Power BI and make you a super user in no time. So let's get started!
If you're new, check out the 3 Minute Tips or DAX for Power BI playlists. Make sure to leave a comment telling me what you'd like to see!
I look forward to connecting with you in the comments or by email!</t>
  </si>
  <si>
    <t>Guy in a Cube is all about helping you master business analytics on the Microsoft Business analytics stack to allow you to drive business growth. We are just two guys doing the work.
We look at how to leverage Microsoft Business Analytics to allow you to gain knowledge that is needed to shape the data your business cares about. This includes Power BI, Reporting Services, Analysis Services and Excel. If you work with our business analytics products or services, be sure to subscribe and join in the discussion with our weekly content.
MONDAY: Information round up and occasional Q&amp;A with folks in the organization.
TUESDAYS: Two minute Tuesdays are a quick hit.
WEDNESDAY &amp; THURSDAYS: Tech videos relating to Power BI and other products and services.
Join us by subscribing and participating in the comments with your questions or thoughts.
*** Adam Saxton and Patrick LeBlanc are Microsoft Employees. Guy in a Cube is not associated with Microsoft and our opinions are our own. ***</t>
  </si>
  <si>
    <t>This channel is dedicated to turning you into a Data God.
This channel will teach you how to use Power BI to: become a Wizard of Wrangling Data, Rock at DAX, tell enticing stories with data, and eventually, become a DATA GOD.
You may feel like a mortal today, continue watching these videos and transform your life.</t>
  </si>
  <si>
    <t>This site is dedicated to Brunner family videos. Enjoy!</t>
  </si>
  <si>
    <t>I'm Mike1
_xD83E__xDD29__xD83D__xDE1D_</t>
  </si>
  <si>
    <t>Enterprise DNA TV has been created for you...the Power BI super users! We are creating an analytical movement to rid the world of poor, time consuming reporting that creates no value for anyone by using this amazing tool, Power BI. 
This channel comprehensively covers how to utilise all areas of Power BI, with a big focus on using the DAX language to unleash powerful analytical insights from your data.
Power BI is a seriously amazing analytical &amp; visualisation tool...Enterprise DNA TV will show you how to harness it too its fullest.
Join the movement!
New videos every weekday.
Sam McKay
Founder, Enterprise DNA
------------------------------------------------------------------------------
Join our Enterprise Power BI community - https://www.linkedin.com/groups/12004506</t>
  </si>
  <si>
    <t>This is Power Bi free online Tutorials channel, here you can learn Power Bi from Basic to Advance Level with an example including DAX's &amp; Report Optimization technique.</t>
  </si>
  <si>
    <t>Com mestrado em Engenharia Mecânica pela UFSC e certificações MCSA, PMP, PSM I e MCTS, possuo 7 anos de experiência em Desenvolvimento e Gerenciamento de Projetos de Software voltados para solução de problemas complexos de Engenharia de Petróleo. 
​
Atuei como Líder de Equipe e Líder Técnico de Business Intelligence na Softplan Sistemas e Planejamento e possuo mais de 4 anos de experiência em projetos de Data Analytics. tornando-se especialista e referência nacional em Business Intelligence, mais especificamente em tecnologias da Microsoft como o Power BI, Analysis Services (Modelo Tabular) e Excel.
Ofereço cursos online, além de cursos presenciais e Treinamentos In-Company, sendo que já forneci treinamentos de Power BI para equipes de grandes empresas, como 3M, Suzano, CBF, Arcelor Mittal, entre dezenas de outras.</t>
  </si>
  <si>
    <t>Email: diego.cpm@gmail.com
FAQ:
Qual Programa que eu uso para gravar:
- Fraps
Qual são as suas configurações do PC?
1 x CPU: Phenom II X6 1090T 
1 x Placa Mãe: GA880GMA-UD2H
2 x Memória Ram: Kingston 8gb Ddr3 1333mhz 
1 x Hard Disk: Hd 1.5tb Samsung
1 x Placa De Vídeo: AMD Radeon HD 7850 2GB
1 x Drive Óptico: LG Gravador de Blu-ray
1 x Fonte De Alimentação: ATX Iceage 500w
1 x Gabinete: Gabinete Thermaltake V3 Black</t>
  </si>
  <si>
    <t>Learn how to take advantage of your data with Microsoft Power BI and excel. 
We update the channel once a week with:
1. Useful dashboards with popular online data sources like Google Analytics, Twitter, Northwind database, etc..
2. The latest Power BI updates
3. Power BI tips&amp; tricks
5. DAX Fridays, where we go through new DAX measures features every Friday. Perfect to learn DAX for beginners and experts.
Join us, we load new videos every week!
The Curbal Team</t>
  </si>
  <si>
    <t>ברוכים הבאים לערוץ של הקבוצה הישראלית למשתמשי Power BI ! 
כאן זה ה-מקום, לסייע, ללמוד על Power BI, לקבץ את משתמשי Power BI הישראלים במקום אחד על מנת ליצור קשרים עם משתמשים אחרים, הן בישראל והן בכל העולם, ועל מנת להשאיר אתכם מעודכנים בטיפים, טריקים ועוד.
המטרה שלנו היא ליצור קבוצה חזקה בישראל אשר תעזור לחבריהָ להגדיל את הידע שלהם בתחום, כמו גם את הקשרים שלהם ובכך את הניסיון שלהם בעזרת חברי הקבוצה.
הערוץ מקושר לקבוצת Power BI ישראל בכתובת:
http://www.pbiusergroup.com/Haifa
כאשר בקבוצה מתפרסמים חומרי עזר, כתבות, פוסטים, ומקיימים דיונים ועזרה הדדית, מלב אל לב.
מה, עדיין לא הצטרפת? אז יאללה....תגיע, אנחנו מחכים לך כבר שם :)</t>
  </si>
  <si>
    <t>Hello and welcome to my YouTube channel.
My name is Reza Dorrani. 
My passion is sharing my learnings on the Power Platform, Office 365 &amp; more. 
This channel is my playground to share my passion.
I am a Microsoft Business Applications MVP, Microsoft Power Apps &amp; Microsoft Power Automate Community Super User, Microsoft Flow All Star winner &amp; the founder and leader of the Houston (Texas) Power Apps and Power Automate User Group.
Currently working as a Principal Consultant and Power Platform Practice Technical Lead at Catapult Systems.
_xD83D__xDD14_ Don't forget to hit the subscribe button to get notified when I publish my latest video.
_xD83C__xDFAC_ Video release cadence: Every 10-12 days
_xD83D__xDCDD_ I do read and try to respond to every comment!!!
Thank you</t>
  </si>
  <si>
    <t>Soy fiel creyente que la mejor manera de aprender es enseñar y mi gran objetivo es poder enseñar EXCEL, una de las herramientas mas importantes a nivel profesional y empresarial.
El curso de excel aprenderemos de una manera muy fácil y didáctica adicionalmente resolveremos todas las inquietudes de los suscriptores mediante videos para que sea mas fácil aprender.</t>
  </si>
  <si>
    <t>A RFB Sistemas é uma consultoria focada em Prestação de Serviços e especializada nos principais sistemas de ERP e CRM do mercado. Através de uma equipe especializada e ferramentas de apoio, a RFB Sistemas realiza desde a implantação completa do sistema Totvs | Microsiga-Protheus, como também auxilia sua corporação na implantação de novos módulos e rotinas.</t>
  </si>
  <si>
    <t>Aprenda Análise de dados e Marketing Digital na PRÁTICA. Saiba utilizar dados para entender e direcionar qualquer negócio.
A missão do canal é formar profissionais na área de dados com foco em Marketing Digital e ajudar empreendedores a alavancar seus resultados.
Se você quer aprender a utilizar Análise de dados com Marketing Digital, inscreva-se no canal. Videos novos as terças-feiras às 20h.</t>
  </si>
  <si>
    <t>Tudo que você precisa saber para montar seu negócio online e faturar de uma vez por todas na internet. Chega aí e vamos fazer a diferença!</t>
  </si>
  <si>
    <t>Excel Campus is here to help you learn Excel and save you time with your everyday tasks.  My name is Jon Acampora and my goal is to help you improve your Excel skills.  This channel contains "how-to" tutorial style videos on a wide range of Excel topics including: formulas, pivot tables, macros, VBA, charts, dashboards, Power Query, Power Pivot, Power BI, and much more.
I want to hear from you and learn about what you are struggling with in Excel.  Please visit my website and subscribe to my free email newsletter.  http://www.excelcampus.com/newsletter/
And don't forget to subscribe to our YouTube channel.  Thank you!</t>
  </si>
  <si>
    <t>Insta: sketchonk</t>
  </si>
  <si>
    <t>You know me as the creator of carldesouza.com, a leading blog on the Microsoft Power Platform. Now check out my YouTube channel for videos on the Microsoft Power Platform, Dynamics 365, Power BI, Power Apps, Power Automate, Azure, Unified Service Desk and all kinds of technology.
I will be updating this channel with the latest tech from the Microsoft Business Applications Summit #MSBizAppsSummit and new features in the Microsoft Power Platform.
Hit SUBSCRIBE so you don't miss a video. Welcome to the learning community!</t>
  </si>
  <si>
    <t>Hello Guys,
This Channel is for Basic Excel,Advance Excel ,Excel VBA,SQL, SSIS ,SSRS,R and SAS and many more,
So please subscribe our channel and support us so we can upload many more videos those will help you</t>
  </si>
  <si>
    <t>Hello Guys,
This Channel is for Basic Excel,Advance Excel ,Excel VBA,SQL, SSIS ,SSRS,R and SAS and many more,
So please subscribe our channel and support us so we can upload many more videos those will help you ...</t>
  </si>
  <si>
    <t>Este canal foi criado para ensinar e aprender o Power BI Desktop, difundindo a cultura de dados e sua importância nas empresas.
Acredito que é importante alinhar o conhecimento da ferramenta com as práticas de mercado.
Meu nome é Eric Vieira, sou de Brasília e aqui o Power BI é na real.</t>
  </si>
  <si>
    <t>Free online training
Power bi
Power bi services
Adobe Photoshop
Adobe Illustrator
Adobe Dreamviewer
Adobe Premiere Pro
Adobe After effects
Adobe fire works 
UI Design
UX design
SQL
MYSQL
Java script
jQuery
Bootstrap
Angular JS
WordPress
Blogger design</t>
  </si>
  <si>
    <t>قناة لكل مستجدات المنظومة التربوية و التعليمية ، تقدم لكم كل مفيد و تغطي مجموعة من المحطات النضالية التعليمية للنقابات و التنسيقيات .</t>
  </si>
  <si>
    <t>قناة التنمية الذاتية
لمن يطمح أن يخلق لنفسه النجاح الذي يريد أن يراه في العالم</t>
  </si>
  <si>
    <t>Welcome to my Official Channel “TeachToEach”, this channel is related to database progam i just want to teach each and every Individual whoever is interested in technology to be able to understand it in the most easiest possible way.
All videos are available in Hindi language. Currently i have focusing on advanced "Excel" Formulas. But later on i shall move to some other database related programs such as MS Access, MS Word, MS PowerPoint.
I choose this Youtube option because here I connected with lots of people without even know them. I have more than 50 videos on the topic of advanced excel.
This channel include videos related to :-
 Microsoft Excel
 Microsoft Word
 Microsoft Outlook
 Microsoft Power Point
 Google Drive
 SQL
 Computer
 Mobile App etc.
My Facebook Page Link : https://www.facebook.com/Teachtoeach
My Twitter link : https://twitter.com/TeachToEachh
You can also mail me on My email ID : teachtoeach@gmail.com
ＬＩＫＥ | ＣＯＭＭＥＮＴ | ＳＨＡＲＥ | ＳＵＢＳＣＲＩＢＥ
ON MY VIDEOS</t>
  </si>
  <si>
    <t>Fascination is one word that describes my curiosity to understand the world around me.
"Never let your memories be greater than your dreams"
I have already created positive change in individuals and institutions that I have engaged and partnered with.
I am a Freelancer Corporate Trainer for Power BI, Tableau, Microsoft, IBM and HP softwares.
My Mission is to help professionals to take control of their skills and present them in a way that inspires, impress and build confidence in their abilities, products and services.
I am an ambitious individual who is looking to broaden my career path. I enjoy contributing new ideas, I am self-motivated and an excellent team player. I work well under pressure and understand the importance of time management
I love training people and build them technically enhanced &amp; professionally Confident about the Products and Services. It doesn't even matter who you are and what you do !!!</t>
  </si>
  <si>
    <t>Best status video upload</t>
  </si>
  <si>
    <t>I am developing videos for those people who want to start their career in Microsoft Business Intelligence.
You can learn basic sql queries to advance queries, Reporting Services, Analysis Services, MDX and Power BI Analytics.
You can find more useful articles on https://www.learndax.com/</t>
  </si>
  <si>
    <t>This is a bilingual educational platform: English &amp; Spanish.
Esta es una plataforma educativa bilingüe: Inglés y español.
Want to surprise your boss and team members with exceptional Excel and data visualization skills? If so, this is the right platform. I'll primarily be using Excel and Power BI, but eventually Tableau as well. Every Saturday I'll upload a new tutorial in English or Spanish. 
"Tell the best story with your data"
Subscribe if you'd like to Excel your skills! 
¿Te gustaría sorprender a tu jefe y compañeros de trabajo con conocimientos excepcionales de Excel y visualización de datos? Si es así, estás en la plataforma correcta. Mayormente, estaré usando Excel y Power BI, pero también haré uso de Tableau más adelante. Todos los sábados subiré un tutorial nuevo en inglés o español.
"Cuenta la mejor historia con tus datos"
¡Suscríbete! 
Thank you! 
¡Gracias!</t>
  </si>
  <si>
    <t>For those peoples who want to be a good knowledge holder in Excel, Excel VBA - Macros &amp; powerBI this is reason that I have started this channel.
Trying my best to make you people understand on Excel, Excel VBA Macros &amp; powerBI easily.
So join me and enjoy this journey.
For the any Excel and VBA query mail us on ajen.indra@gmail.com</t>
  </si>
  <si>
    <t>Tutoriales de Marketing Digital, emprendimiento digital, Power Bi.</t>
  </si>
  <si>
    <t>► Qui je suis ?
Je m'appelle Axel, j'ai 27 ans.
J’ai réussi à m'imposer au sein de l'entreprise dans laquelle je suis grâce en grande partie à l'utilisation avancée d'Excel.
✓ Dans ma formation je vais vous montrer point par point TOUT ce que j'ai appris.
✓ Vous allez apprendre facilement avec des supports déjà préparer pour chaque cours (base de donnée sur Excel + corrigé avec les formules et fonctionnalités).
✓ Vous aurez une vidéo qui vous expliquera comment arriver au résultat final (corrigé) en partant de la base de donnée.
✓ Vous ferez face à de réels cas pratiques que j'ai moi même rencontré en entreprise.
► Je vais tout faire pour vous aider à progresser sur l'utilisation d'Excel notamment pour que vous puissiez :
✓ Postuler à de nouveaux postes.
✓ Évoluer plus rapidement au sein de votre entreprise actuelle.
_xD83C__xDFAC_ Nouvelle vidéo tous les Dimanches à 14h.</t>
  </si>
  <si>
    <t>- Tortureur de tableur
- Dresseur de données
- Automatiseur de trucs
- Youtubeur, auteur &amp; blogueur
- Cat lover</t>
  </si>
  <si>
    <t>MAESTRO-EMPRENDEDOR-INVERSIONISTA</t>
  </si>
  <si>
    <t>Please visit my site for blogs  related to the created videos. 
My blog is @ :http://www.dagdoo.org/
My aim in setting up this channel is to help people get awesome at
1. Data analysis
2. Data analytics
3. Data mining
4. Improving data quality</t>
  </si>
  <si>
    <t>Aprenda o que você precisa de Excel, VBA e Power BI pra virar uma referência no mercado de trabalho</t>
  </si>
  <si>
    <t>I'm David Eldersveld, and I blog about Power BI and other Microsoft data services at DataVeld.com. 
Father of Power BI SVG.
Why am I creating videos and not writing?</t>
  </si>
  <si>
    <t>Activando el Análisis de Datos</t>
  </si>
  <si>
    <t>We will host educational videos mainly on Power BI and Microsoft Azure</t>
  </si>
  <si>
    <t>Learn and optimize DAX with Marco Russo and Alberto Ferrari - Visit www.sqlbi.com.
We are experts on DAX and Data Modeling for Power BI, Analysis Services, and Power Pivot.
Visit our website to get more than 200 free articles, books, videos, and courses.
Free video courses: 
- Introducing DAX: https://sql.bi/introdax
- Introduction to Data Modeling for Power BI: https://sql.bi/intromodeling
Advanced video courses:
- Mastering DAX: https://sql.bi/masterdax
- Optimizing DAX: https://sql.bi/optimizedax
- Data Modeling for Power BI: https://sql.bi/modeling
- Power BI Dashboard Design Course: https://sql.bi/dashboard
- SSAS Tabular Course: https://sql.bi/tabular
- Power Pivot Workshop: https://sql.bi/powerpivot
Our latest books:
- The Definitive Guide to DAX - 2nd edition: https://sql.bi/guidetodax
- Analyzing Data with Power BI and Power Pivot for Excel: https://sql.bi/modelingbook</t>
  </si>
  <si>
    <t>My mission ✊ is to go beyond just teaching you Power BI, and make you a Power BI Pro! A successful Power BI Professional, both in terms of money you earn and the impact you create.
Sure I have videos covering
➔Power BI Tutorials (Desktop, Query Editor, Relationships, DAX…)
➔Creating Beautiful Power BI Dashboards
➔Comparing Power BI vs Tableau
➔…and lots of other Tech Videos
But I also have videos covering
➔How to Make Money Using Your Power BI Skills
➔How to Get a Power BI Job
➔How to Become a Power BI Consultant
➔…and lots of other videos to make you a real Pro!
Ready to get started on your Power BI journey?
_xD83D__xDC49_ Hit that SUBSCRIBE button 
_xD83D__xDC49_ Get All my Download Files to follow along with my videos:
https://web.learnpowerbi.com/download/
★ABOUT ME★
I am Avi Singh, Microsoft MVP, bestselling Power BI Author and Expert. I left my corporate job at Microsoft to pursue my dream of changing people's lives using the magic of Power BI. I now live a life of freedom to do what I love ❤</t>
  </si>
  <si>
    <t>Blogic srl offers a range of information technology services designed to improve business productivity. Founded in 2001 and based in Rome, Blogic supports companies with IT solutions.
Vcad, our main product, permits to import and normalize data present in dwg and bim files, associate them with existing dataset, make them available to external systems, view on line, print, export and much more. 
Vcad allows consultation and modification of associated data with cad drawings or bim models. Without using complex tools users can manage spaces and assets in a simple and intuitive way.</t>
  </si>
  <si>
    <t>Hello Learners! Welcome to our channel, Machine Learning For Analytics (ML For Analytics). 
Here, you will get all you need to learn concepts of Business Intelligence, Machine Learning, Deep Learning, Business Analytics and Statistics from basics to advanced level with strong emphasis on hands-on. The coded examples will mainly be written in Python and R. All of the required algorithms will be taught step-by-step along with code for it.
We will cover business intelligence scenarios using Microsoft Power BI . in this journey, we will also learn DAX, which is the language used for data modelling and complex computation with Power BI.
Keep on following this channel to get the best knowledge about all these verticals of Data Science for engaging and interactive learning ahead.
Happy Learning!</t>
  </si>
  <si>
    <t>RESUMO DAS MINHAS QUALIFICAÇÔES:
ERP Sistemas SAP e Totvs Protheus, PCP, Gestão de sistema WMS, Supply Chain Management, Administração de Centro de Distribuição (Gestão de frotas, Cross Doking, Milk Run e Just in Time), Ravex Sistema de Gestão de Logística, TQC, Prática em auditoria, Desing 2D e 3D, Tecnologia da informação, Certificação ISO 9001 / Certificação BPF e HACCP.</t>
  </si>
  <si>
    <t>Door mijn werk als IT-consultant ben ik geïnteresseerd geraakt in het Power Platform van Microsoft. Waar ik begon met het visualiseren van wat logbestanden, haalde ik steeds meer plezier uit het overkomen van problemen bij het samenvoegen of verkrijgen van datasets. Op dit kanaal vind je video's van mijn avonturen met het Power Platform. Bijbehorende blogs vind je op mijn website.</t>
  </si>
  <si>
    <t>short interactive animated videos</t>
  </si>
  <si>
    <t>Our Vision is so simple,
We have been in Data analytics technology over a decade and we want to share our knowledge through this channel.
What is Data Analytics?
           Data Analytics is a process of inspecting, cleansing, transforming and modeling data with the goal of discovering useful information, informing conclusions and supporting decision-making
Why one should learn Data Analytics?
Data Analytics is the future, and the future will demand skills for jobs as functional analysts, data engineers, data scientists, and advanced analysts.
Data Analytics is an internal organisational function performed by Data Analysts that is more than merely presenting numbers and figures to management.
       Analyse, interpret and deliver data in meaningful ways
       Drive effective decision-making
       To Increase business productivity
       To identify customer trends and behaviors</t>
  </si>
  <si>
    <t>Compartilhando conhecimentos sobre Nuvem e Azure de forma prática e simplificada.</t>
  </si>
  <si>
    <t>Businesses today must be able to quickly and confidently move from data to decisions to actions to maintain a competitive advantage and keep ahead of competitors.
Today, many still struggle to understand the basics such as ‘what happened’ with confidence. We build capabilities that enable businesses to mature beyond understanding 'why something happened'​ to 'what may happen'​ and eventually recommending 'what should be done'​.
Ensuring you have effective and relevant analytical solutions is an investment in your success. We can help you attain this goal.
We offer a full suite of analytic services to ensure you have the capabilities needed when you need them so that you can focus on your clients and your business.</t>
  </si>
  <si>
    <t>A AFRAC é uma entidade multissetorial que representa, há mais de 25 anos, fornecedores de produtos e serviços para a automação da atividade do comércio no Brasil, representando 90% de todo o ecossistema da Automação Comercial.</t>
  </si>
  <si>
    <t>Analysing and visualising interesting public datasets using  Power BI, R, SQL, Python.  From popular community data &amp; analytics meetup, originally London-based,  now online since lockdown.  Each week, we add a short video of highlights from the event.</t>
  </si>
  <si>
    <t>Pragmatic Works is a consulting and training company that helps grow your business with data. We offer top-notch consulting and training led by Microsoft MVPs and industry experts. Stay ahead of the competition by taking advantage of the latest applications from Microsoft, such as Azure and Power BI.</t>
  </si>
  <si>
    <t>Excel Free Blog (EFB) is hosted by Miguel Caballero Sierra
Un canal dedicado a la inteligencia de neogcios utilizando las tecnologías de Microsoft BI:
• Power Pivot
• Power Query
• Power View &amp; Power Map
• Power BI Suite (Desktop, Services, Mobile, ...)
• SQL Server Analysis Services
Y todo el ambiente que aumenta cada día más, claro Excel y las tablas dinámicas como los cimientos para el análisis de datos, minería de datos, estadística e inteligencia de negocios
 http://www.excelfreeblog.com/
¡Suscríbete para estar a la vanguardía!</t>
  </si>
  <si>
    <t>Datdata: Aprende habilidades de Análisis de datos.
Nosotros creemos que todos pueden inspirarse y aprender, al enseñar con contenido sencillo y dinámico.
Lo anterior es nuestro método en nuestra misión por contribuir con la comunidad en el logro de sus necesidades de información – Y es así como nuestros instructores estarán motivandolos y guiándolos en la transformación de sus datos.</t>
  </si>
  <si>
    <t>Microsoft Certified Trainer.
MCSA de Office 365 e MCSA de Dynamics 365.
Apaixonado por tecnologia, especialmente Power BI, Microsoft Office 365 e Microsoft Azure.</t>
  </si>
  <si>
    <t>Belajar Bareng Yuk !!! If we could help thousands people, why just dozens?</t>
  </si>
  <si>
    <t>【關於菜鳥救星】
曾有一位學者說：我們不是每天變老，而是要每天變新、變好
而變新、變好的關鍵就在於──誰能用更高CP值的方式「利用時間」
我們提醒自己，要好好利用時間，投入學習讓自己變好，
然而，在過往的學習經驗裡，你是否也有這樣的困擾：
「對著螢幕學習新知，卻少了同儕相互鼓勵。」
「看著零互動的線上課程，達不到預期的學習成效。」
「生活上的疲累，讓學習進度一再落後。」
在學習的路上，我們都需要一個好伴！
你為夢想前進，菜鳥救星陪你一起為未來努力。
我們整合學習資源，期望成為自學者的線上學習顧問。
用一個影片解決一個問題；一組懶人包搞懂一個概念；
用一篇文章掌握一個訣竅；一次問答獲得一個成長。
用更高CP值的方式「利用時間」是我們的核心理念，
期待每一個人都能用最精華的時間學習，每天變新、變好。
◆Learning Autonomy自主學習
自主學習是一種潮流，將學習的主導權交還給學生，因為知識的內化必須由學生主動參與。而菜鳥救星希望幫助大家有效學習、解決職涯和生活上的課題，讓知識技能發揮最大用途。
◆Digital tutor數位家教
我們提供多元的專業知識內容，並搭配不同的學習方式，從圖文、影音教材到真人家教，讓知識的傳遞不再受時空地域的限制、只要有網路和行動裝置
◆Resource Sharing資源共享
我們期待創造一個討論和交流的空間，不管是請求幫忙或是技術分享，透過社群的力量，集合民間高手，一起面對問題、解決問題，讓所有人都能在這個過程中得到成長。
【關於菜鳥救星Live學堂】
有一些專業就是需要老師手把手教，才能追求更好的學習成效！菜鳥救星LIVE學堂就是為此而生。有別於坊間的錄播課程，LIVE學堂採真人授課，我們重視課堂上師生互動的即時性，有問題當下反應立刻解決，就像一位貼身家教在身邊，隨問即答。
◆真正線上真人直播，就像家教隨時在旁
◆師生互動零時差，學習成效立刻加倍
◆老師親自批改作業，課後回饋進步更快
◆督促產出完整作品，真正關注學習成效</t>
  </si>
  <si>
    <t>Power BI, Power BI and Power BI.
I'm an expert in Microsoft Business Intelligence mainly focusing on Power BI and all things related. I will use this YouTube channel as a supplement to my Blog - to show tips and tricks and go more in dept on specific topics.</t>
  </si>
  <si>
    <t>Aprenda a desenvolver soluções de apoio à gestão e melhore a tomada de decisão da sua empresa. Como fazer isso? Nós vamos te ensinar a trabalhar com as ferramentas: Excel, Power BI e Azure e muito mais. Bons estudos! :D #sejapower #somospower #planilheiros</t>
  </si>
  <si>
    <t>bielite</t>
  </si>
  <si>
    <t>nirrobinson</t>
  </si>
  <si>
    <t>nickyvanvroenhoven</t>
  </si>
  <si>
    <t>guyinacube</t>
  </si>
  <si>
    <t>chriswagnerdatagod</t>
  </si>
  <si>
    <t>natebrunner</t>
  </si>
  <si>
    <t>stephenengine</t>
  </si>
  <si>
    <t>adityak7004</t>
  </si>
  <si>
    <t>zigbaird</t>
  </si>
  <si>
    <t>joaoluismartins</t>
  </si>
  <si>
    <t>fredkaffenberger</t>
  </si>
  <si>
    <t>enterprisedna</t>
  </si>
  <si>
    <t>powerbitutorials</t>
  </si>
  <si>
    <t>aprendapowerbi</t>
  </si>
  <si>
    <t>curbalen</t>
  </si>
  <si>
    <t>rezadorrani</t>
  </si>
  <si>
    <t>aprendeyensenaexcel</t>
  </si>
  <si>
    <t>datamarketing</t>
  </si>
  <si>
    <t>wesllysilvaseo</t>
  </si>
  <si>
    <t>excelcampus1</t>
  </si>
  <si>
    <t>fernandocalero67</t>
  </si>
  <si>
    <t>andrewtuplin</t>
  </si>
  <si>
    <t>mildestinos1</t>
  </si>
  <si>
    <t>laxmiskills</t>
  </si>
  <si>
    <t>teachtoeach</t>
  </si>
  <si>
    <t>pavanlalwani</t>
  </si>
  <si>
    <t>madhusudhanreddyphotos</t>
  </si>
  <si>
    <t>powerbianalytics</t>
  </si>
  <si>
    <t>nestoradrianzen</t>
  </si>
  <si>
    <t>tutoliber</t>
  </si>
  <si>
    <t>5minuteformula</t>
  </si>
  <si>
    <t>apprendreexcelenligne</t>
  </si>
  <si>
    <t>updegree</t>
  </si>
  <si>
    <t>ricardocontreras</t>
  </si>
  <si>
    <t>learnexcelrelentless</t>
  </si>
  <si>
    <t>hashtagtreinamentos</t>
  </si>
  <si>
    <t>tuliomelibeu</t>
  </si>
  <si>
    <t>sqlbi</t>
  </si>
  <si>
    <t>powerbipro</t>
  </si>
  <si>
    <t>bimservices</t>
  </si>
  <si>
    <t>mlforanalytics</t>
  </si>
  <si>
    <t>franciscoadea</t>
  </si>
  <si>
    <t>hemanthhemu86</t>
  </si>
  <si>
    <t>azizrehman0111</t>
  </si>
  <si>
    <t>azurebrasilcomunidadetecnica</t>
  </si>
  <si>
    <t>londonbusinessanalyticsgroup</t>
  </si>
  <si>
    <t>pragmaticworks</t>
  </si>
  <si>
    <t>excelfreeblog</t>
  </si>
  <si>
    <t>mestresbi</t>
  </si>
  <si>
    <t>菜鳥救星rookiesavior</t>
  </si>
  <si>
    <t>justblindbaek</t>
  </si>
  <si>
    <t>planilheirosbrasil</t>
  </si>
  <si>
    <t>Not Applicable</t>
  </si>
  <si>
    <t>power</t>
  </si>
  <si>
    <t>bi</t>
  </si>
  <si>
    <t>data</t>
  </si>
  <si>
    <t>excel</t>
  </si>
  <si>
    <t>microsoft</t>
  </si>
  <si>
    <t>analytics</t>
  </si>
  <si>
    <t>services</t>
  </si>
  <si>
    <t>dax</t>
  </si>
  <si>
    <t>que</t>
  </si>
  <si>
    <t>platform</t>
  </si>
  <si>
    <t>learn</t>
  </si>
  <si>
    <t>para</t>
  </si>
  <si>
    <t>using</t>
  </si>
  <si>
    <t>em</t>
  </si>
  <si>
    <t>help</t>
  </si>
  <si>
    <t>en</t>
  </si>
  <si>
    <t>como</t>
  </si>
  <si>
    <t>new</t>
  </si>
  <si>
    <t>vba</t>
  </si>
  <si>
    <t>learning</t>
  </si>
  <si>
    <t>sql</t>
  </si>
  <si>
    <t>datos</t>
  </si>
  <si>
    <t>azure</t>
  </si>
  <si>
    <t>analysis</t>
  </si>
  <si>
    <t>join</t>
  </si>
  <si>
    <t>free</t>
  </si>
  <si>
    <t>online</t>
  </si>
  <si>
    <t>intelligence</t>
  </si>
  <si>
    <t>na</t>
  </si>
  <si>
    <t>é</t>
  </si>
  <si>
    <t>digital</t>
  </si>
  <si>
    <t>pivot</t>
  </si>
  <si>
    <t>adobe</t>
  </si>
  <si>
    <t>people</t>
  </si>
  <si>
    <t>time</t>
  </si>
  <si>
    <t>sistemas</t>
  </si>
  <si>
    <t>latest</t>
  </si>
  <si>
    <t>365</t>
  </si>
  <si>
    <t>aprender</t>
  </si>
  <si>
    <t>uma</t>
  </si>
  <si>
    <t>dados</t>
  </si>
  <si>
    <t>many</t>
  </si>
  <si>
    <t>related</t>
  </si>
  <si>
    <t>understand</t>
  </si>
  <si>
    <t>advanced</t>
  </si>
  <si>
    <t>het</t>
  </si>
  <si>
    <t>van</t>
  </si>
  <si>
    <t>gestão</t>
  </si>
  <si>
    <t>mais</t>
  </si>
  <si>
    <t>tutorial</t>
  </si>
  <si>
    <t>tips</t>
  </si>
  <si>
    <t>drive</t>
  </si>
  <si>
    <t>knowledge</t>
  </si>
  <si>
    <t>products</t>
  </si>
  <si>
    <t>hit</t>
  </si>
  <si>
    <t>enterprise</t>
  </si>
  <si>
    <t>analytical</t>
  </si>
  <si>
    <t>here</t>
  </si>
  <si>
    <t>basic</t>
  </si>
  <si>
    <t>advance</t>
  </si>
  <si>
    <t>את</t>
  </si>
  <si>
    <t>hello</t>
  </si>
  <si>
    <t>canal</t>
  </si>
  <si>
    <t>query</t>
  </si>
  <si>
    <t>visit</t>
  </si>
  <si>
    <t>technology</t>
  </si>
  <si>
    <t>upload</t>
  </si>
  <si>
    <t>design</t>
  </si>
  <si>
    <t>tableau</t>
  </si>
  <si>
    <t>best</t>
  </si>
  <si>
    <t>con</t>
  </si>
  <si>
    <t>modeling</t>
  </si>
  <si>
    <t>aprenda</t>
  </si>
  <si>
    <t>sua</t>
  </si>
  <si>
    <t>tricks</t>
  </si>
  <si>
    <t>mvp</t>
  </si>
  <si>
    <t>teach</t>
  </si>
  <si>
    <t>out</t>
  </si>
  <si>
    <t>super</t>
  </si>
  <si>
    <t>user</t>
  </si>
  <si>
    <t>started</t>
  </si>
  <si>
    <t>sure</t>
  </si>
  <si>
    <t>comment</t>
  </si>
  <si>
    <t>guys</t>
  </si>
  <si>
    <t>work</t>
  </si>
  <si>
    <t>reporting</t>
  </si>
  <si>
    <t>information</t>
  </si>
  <si>
    <t>tech</t>
  </si>
  <si>
    <t>become</t>
  </si>
  <si>
    <t>eventually</t>
  </si>
  <si>
    <t>today</t>
  </si>
  <si>
    <t>enjoy</t>
  </si>
  <si>
    <t>dna</t>
  </si>
  <si>
    <t>created</t>
  </si>
  <si>
    <t>creating</t>
  </si>
  <si>
    <t>language</t>
  </si>
  <si>
    <t>mcsa</t>
  </si>
  <si>
    <t>anos</t>
  </si>
  <si>
    <t>se</t>
  </si>
  <si>
    <t>gmail</t>
  </si>
  <si>
    <t>advantage</t>
  </si>
  <si>
    <t>useful</t>
  </si>
  <si>
    <t>dashboards</t>
  </si>
  <si>
    <t>database</t>
  </si>
  <si>
    <t>go</t>
  </si>
  <si>
    <t>experts</t>
  </si>
  <si>
    <t>team</t>
  </si>
  <si>
    <t>שלהם</t>
  </si>
  <si>
    <t>office</t>
  </si>
  <si>
    <t>applications</t>
  </si>
  <si>
    <t>apps</t>
  </si>
  <si>
    <t>automate</t>
  </si>
  <si>
    <t>consultant</t>
  </si>
  <si>
    <t>thank</t>
  </si>
  <si>
    <t>enseñar</t>
  </si>
  <si>
    <t>una</t>
  </si>
  <si>
    <t>mercado</t>
  </si>
  <si>
    <t>sistema</t>
  </si>
  <si>
    <t>prática</t>
  </si>
  <si>
    <t>você</t>
  </si>
  <si>
    <t>goal</t>
  </si>
  <si>
    <t>macros</t>
  </si>
  <si>
    <t>now</t>
  </si>
  <si>
    <t>desktop</t>
  </si>
  <si>
    <t>pro</t>
  </si>
  <si>
    <t>و</t>
  </si>
  <si>
    <t>way</t>
  </si>
  <si>
    <t>such</t>
  </si>
  <si>
    <t>ms</t>
  </si>
  <si>
    <t>word</t>
  </si>
  <si>
    <t>lots</t>
  </si>
  <si>
    <t>point</t>
  </si>
  <si>
    <t>build</t>
  </si>
  <si>
    <t>journey</t>
  </si>
  <si>
    <t>j'ai</t>
  </si>
  <si>
    <t>au</t>
  </si>
  <si>
    <t>pour</t>
  </si>
  <si>
    <t>análisis</t>
  </si>
  <si>
    <t>mainly</t>
  </si>
  <si>
    <t>courses</t>
  </si>
  <si>
    <t>ahead</t>
  </si>
  <si>
    <t>mijn</t>
  </si>
  <si>
    <t>ik</t>
  </si>
  <si>
    <t>analysts</t>
  </si>
  <si>
    <t>apoio</t>
  </si>
  <si>
    <t>fazer</t>
  </si>
  <si>
    <t>vamos</t>
  </si>
  <si>
    <t>te</t>
  </si>
  <si>
    <t>ensinar</t>
  </si>
  <si>
    <t>ferramentas</t>
  </si>
  <si>
    <t>designed</t>
  </si>
  <si>
    <t>check</t>
  </si>
  <si>
    <t>minute</t>
  </si>
  <si>
    <t>look</t>
  </si>
  <si>
    <t>comments</t>
  </si>
  <si>
    <t>guy</t>
  </si>
  <si>
    <t>cube</t>
  </si>
  <si>
    <t>allow</t>
  </si>
  <si>
    <t>two</t>
  </si>
  <si>
    <t>needed</t>
  </si>
  <si>
    <t>tuesdays</t>
  </si>
  <si>
    <t>associated</t>
  </si>
  <si>
    <t>dedicated</t>
  </si>
  <si>
    <t>god</t>
  </si>
  <si>
    <t>use</t>
  </si>
  <si>
    <t>tell</t>
  </si>
  <si>
    <t>life</t>
  </si>
  <si>
    <t>site</t>
  </si>
  <si>
    <t>users</t>
  </si>
  <si>
    <t>movement</t>
  </si>
  <si>
    <t>amazing</t>
  </si>
  <si>
    <t>tool</t>
  </si>
  <si>
    <t>focus</t>
  </si>
  <si>
    <t>show</t>
  </si>
  <si>
    <t>founder</t>
  </si>
  <si>
    <t>tutorials</t>
  </si>
  <si>
    <t>level</t>
  </si>
  <si>
    <t>including</t>
  </si>
  <si>
    <t>engenharia</t>
  </si>
  <si>
    <t>possuo</t>
  </si>
  <si>
    <t>experiência</t>
  </si>
  <si>
    <t>projetos</t>
  </si>
  <si>
    <t>líder</t>
  </si>
  <si>
    <t>equipe</t>
  </si>
  <si>
    <t>referência</t>
  </si>
  <si>
    <t>tabular</t>
  </si>
  <si>
    <t>cursos</t>
  </si>
  <si>
    <t>treinamentos</t>
  </si>
  <si>
    <t>company</t>
  </si>
  <si>
    <t>empresas</t>
  </si>
  <si>
    <t>qual</t>
  </si>
  <si>
    <t>uso</t>
  </si>
  <si>
    <t>placa</t>
  </si>
  <si>
    <t>hd</t>
  </si>
  <si>
    <t>gabinete</t>
  </si>
  <si>
    <t>popular</t>
  </si>
  <si>
    <t>google</t>
  </si>
  <si>
    <t>etc</t>
  </si>
  <si>
    <t>through</t>
  </si>
  <si>
    <t>features</t>
  </si>
  <si>
    <t>הקבוצה</t>
  </si>
  <si>
    <t>על</t>
  </si>
  <si>
    <t>מנת</t>
  </si>
  <si>
    <t>ליצור</t>
  </si>
  <si>
    <t>בישראל</t>
  </si>
  <si>
    <t>name</t>
  </si>
  <si>
    <t>passion</t>
  </si>
  <si>
    <t>share</t>
  </si>
  <si>
    <t>currently</t>
  </si>
  <si>
    <t>forget</t>
  </si>
  <si>
    <t>button</t>
  </si>
  <si>
    <t>mejor</t>
  </si>
  <si>
    <t>manera</t>
  </si>
  <si>
    <t>mas</t>
  </si>
  <si>
    <t>fácil</t>
  </si>
  <si>
    <t>todas</t>
  </si>
  <si>
    <t>rfb</t>
  </si>
  <si>
    <t>serviços</t>
  </si>
  <si>
    <t>especializada</t>
  </si>
  <si>
    <t>erp</t>
  </si>
  <si>
    <t>implantação</t>
  </si>
  <si>
    <t>totvs</t>
  </si>
  <si>
    <t>protheus</t>
  </si>
  <si>
    <t>novos</t>
  </si>
  <si>
    <t>análise</t>
  </si>
  <si>
    <t>utilizar</t>
  </si>
  <si>
    <t>negócio</t>
  </si>
  <si>
    <t>precisa</t>
  </si>
  <si>
    <t>improve</t>
  </si>
  <si>
    <t>range</t>
  </si>
  <si>
    <t>topics</t>
  </si>
  <si>
    <t>formulas</t>
  </si>
  <si>
    <t>much</t>
  </si>
  <si>
    <t>know</t>
  </si>
  <si>
    <t>dynamics</t>
  </si>
  <si>
    <t>ssis</t>
  </si>
  <si>
    <t>ssrs</t>
  </si>
  <si>
    <t>sas</t>
  </si>
  <si>
    <t>real</t>
  </si>
  <si>
    <t>works</t>
  </si>
  <si>
    <t>قناة</t>
  </si>
  <si>
    <t>التعليمية</t>
  </si>
  <si>
    <t>أن</t>
  </si>
  <si>
    <t>each</t>
  </si>
  <si>
    <t>individual</t>
  </si>
  <si>
    <t>available</t>
  </si>
  <si>
    <t>focusing</t>
  </si>
  <si>
    <t>move</t>
  </si>
  <si>
    <t>without</t>
  </si>
  <si>
    <t>mobile</t>
  </si>
  <si>
    <t>corporate</t>
  </si>
  <si>
    <t>trainer</t>
  </si>
  <si>
    <t>mission</t>
  </si>
  <si>
    <t>present</t>
  </si>
  <si>
    <t>confidence</t>
  </si>
  <si>
    <t>career</t>
  </si>
  <si>
    <t>well</t>
  </si>
  <si>
    <t>queries</t>
  </si>
  <si>
    <t>articles</t>
  </si>
  <si>
    <t>educational</t>
  </si>
  <si>
    <t>english</t>
  </si>
  <si>
    <t>spanish</t>
  </si>
  <si>
    <t>plataforma</t>
  </si>
  <si>
    <t>inglés</t>
  </si>
  <si>
    <t>español</t>
  </si>
  <si>
    <t>así</t>
  </si>
  <si>
    <t>más</t>
  </si>
  <si>
    <t>todos</t>
  </si>
  <si>
    <t>suscríbete</t>
  </si>
  <si>
    <t>powerbi</t>
  </si>
  <si>
    <t>qui</t>
  </si>
  <si>
    <t>suis</t>
  </si>
  <si>
    <t>dans</t>
  </si>
  <si>
    <t>l'utilisation</t>
  </si>
  <si>
    <t>d'excel</t>
  </si>
  <si>
    <t>vais</t>
  </si>
  <si>
    <t>tout</t>
  </si>
  <si>
    <t>supports</t>
  </si>
  <si>
    <t>base</t>
  </si>
  <si>
    <t>donnée</t>
  </si>
  <si>
    <t>sur</t>
  </si>
  <si>
    <t>corrigé</t>
  </si>
  <si>
    <t>vidéo</t>
  </si>
  <si>
    <t>entreprise</t>
  </si>
  <si>
    <t>blogs</t>
  </si>
  <si>
    <t>books</t>
  </si>
  <si>
    <t>course</t>
  </si>
  <si>
    <t>beyond</t>
  </si>
  <si>
    <t>money</t>
  </si>
  <si>
    <t>covering</t>
  </si>
  <si>
    <t>job</t>
  </si>
  <si>
    <t>files</t>
  </si>
  <si>
    <t>along</t>
  </si>
  <si>
    <t>blogic</t>
  </si>
  <si>
    <t>productivity</t>
  </si>
  <si>
    <t>based</t>
  </si>
  <si>
    <t>solutions</t>
  </si>
  <si>
    <t>vcad</t>
  </si>
  <si>
    <t>bim</t>
  </si>
  <si>
    <t>view</t>
  </si>
  <si>
    <t>complex</t>
  </si>
  <si>
    <t>simple</t>
  </si>
  <si>
    <t>machine</t>
  </si>
  <si>
    <t>need</t>
  </si>
  <si>
    <t>basics</t>
  </si>
  <si>
    <t>python</t>
  </si>
  <si>
    <t>step</t>
  </si>
  <si>
    <t>keep</t>
  </si>
  <si>
    <t>interactive</t>
  </si>
  <si>
    <t>tecnologia</t>
  </si>
  <si>
    <t>certificação</t>
  </si>
  <si>
    <t>met</t>
  </si>
  <si>
    <t>datasets</t>
  </si>
  <si>
    <t>op</t>
  </si>
  <si>
    <t>vind</t>
  </si>
  <si>
    <t>short</t>
  </si>
  <si>
    <t>decision</t>
  </si>
  <si>
    <t>making</t>
  </si>
  <si>
    <t>future</t>
  </si>
  <si>
    <t>effective</t>
  </si>
  <si>
    <t>businesses</t>
  </si>
  <si>
    <t>capabilities</t>
  </si>
  <si>
    <t>'what</t>
  </si>
  <si>
    <t>offer</t>
  </si>
  <si>
    <t>suite</t>
  </si>
  <si>
    <t>automação</t>
  </si>
  <si>
    <t>todo</t>
  </si>
  <si>
    <t>consulting</t>
  </si>
  <si>
    <t>inteligencia</t>
  </si>
  <si>
    <t>sus</t>
  </si>
  <si>
    <t>變好</t>
  </si>
  <si>
    <t>利用時間</t>
  </si>
  <si>
    <t>power bi data microsoft videos analytics que dax business excel</t>
  </si>
  <si>
    <t>business data analytics microsoft services power bi guy cube allow</t>
  </si>
  <si>
    <t>microsoft videos services word understand power people channel related excel</t>
  </si>
  <si>
    <t>excel power help learn channel pivot subscribe</t>
  </si>
  <si>
    <t>power bi dax tips out make</t>
  </si>
  <si>
    <t>power bi את שלהם dax הקבוצה על מנת ליצור בישראל</t>
  </si>
  <si>
    <t>em para como com engenharia possuo anos experiência projetos líder</t>
  </si>
  <si>
    <t>excel power bi digital platform english spanish es plataforma inglés</t>
  </si>
  <si>
    <t>adobe excel design vba power bi macros powerbi</t>
  </si>
  <si>
    <t>power microsoft channel passion platform apps automate user video</t>
  </si>
  <si>
    <t>power bi enterprise dna analytical tv movement using amazing tool</t>
  </si>
  <si>
    <t>power microsoft platform channel</t>
  </si>
  <si>
    <t>dados na marketing digital você para negócio análise utilizar canal</t>
  </si>
  <si>
    <t>و قناة أن التعليمية</t>
  </si>
  <si>
    <t>é power bi</t>
  </si>
  <si>
    <t>excel channel many more hello guys basic advance vba sql</t>
  </si>
  <si>
    <t>sistemas rfb uma especializada implantação</t>
  </si>
  <si>
    <t>power bi</t>
  </si>
  <si>
    <t>business,analytics</t>
  </si>
  <si>
    <t>power,bi</t>
  </si>
  <si>
    <t>guy,cube</t>
  </si>
  <si>
    <t>microsoft,business</t>
  </si>
  <si>
    <t>products,services</t>
  </si>
  <si>
    <t>data,god</t>
  </si>
  <si>
    <t>advanced,excel</t>
  </si>
  <si>
    <t>anos,experiência</t>
  </si>
  <si>
    <t>experiência,em</t>
  </si>
  <si>
    <t>business,intelligence</t>
  </si>
  <si>
    <t>english,spanish</t>
  </si>
  <si>
    <t>inglés,español</t>
  </si>
  <si>
    <t>excel,power</t>
  </si>
  <si>
    <t>excel,vba</t>
  </si>
  <si>
    <t>excel,excel</t>
  </si>
  <si>
    <t>vba,macros</t>
  </si>
  <si>
    <t>macros,powerbi</t>
  </si>
  <si>
    <t>power,platform</t>
  </si>
  <si>
    <t>microsoft,power</t>
  </si>
  <si>
    <t>power,apps</t>
  </si>
  <si>
    <t>power,automate</t>
  </si>
  <si>
    <t>power,bi  data,analytics  bi,power  power,pivot  analytics,data  bi,microsoft  análisis,datos  data,modeling  modeling,power  business,intelligence</t>
  </si>
  <si>
    <t>business,analytics  power,bi  guy,cube  microsoft,business  products,services  data,god</t>
  </si>
  <si>
    <t>power,bi  products,services  advanced,excel</t>
  </si>
  <si>
    <t>anos,experiência  experiência,em  business,intelligence  power,bi</t>
  </si>
  <si>
    <t>power,bi  english,spanish  inglés,español  excel,power</t>
  </si>
  <si>
    <t>excel,vba  power,bi  excel,excel  vba,macros  macros,powerbi</t>
  </si>
  <si>
    <t>power,platform  microsoft,power  power,apps  power,automate</t>
  </si>
  <si>
    <t>power,bi  enterprise,dna  dna,tv</t>
  </si>
  <si>
    <t>microsoft,power  power,platform</t>
  </si>
  <si>
    <t>marketing,digital  análise,dados  dados,com</t>
  </si>
  <si>
    <t>many,more  hello,guys  guys,channel  channel,basic  basic,excel  excel,advance  advance,excel  excel,excel  excel,vba  vba,sql</t>
  </si>
  <si>
    <t>rfb,sistemas</t>
  </si>
  <si>
    <t>Red</t>
  </si>
  <si>
    <t>G1: power bi data microsoft videos analytics que dax business excel</t>
  </si>
  <si>
    <t>G2: business data analytics microsoft services power bi guy cube allow</t>
  </si>
  <si>
    <t>G3: microsoft videos services word understand power people channel related excel</t>
  </si>
  <si>
    <t>G4: excel power help learn channel pivot subscribe</t>
  </si>
  <si>
    <t>G5: power bi dax tips out make</t>
  </si>
  <si>
    <t>G6: power bi את שלהם dax הקבוצה על מנת ליצור בישראל</t>
  </si>
  <si>
    <t>G7: em para como com engenharia possuo anos experiência projetos líder</t>
  </si>
  <si>
    <t>G8: excel power bi digital platform english spanish es plataforma inglés</t>
  </si>
  <si>
    <t>G9: adobe excel design vba power bi macros powerbi</t>
  </si>
  <si>
    <t>G10: power microsoft channel passion platform apps automate user video</t>
  </si>
  <si>
    <t>G13: power bi enterprise dna analytical tv movement using amazing tool</t>
  </si>
  <si>
    <t>G15: power microsoft platform channel</t>
  </si>
  <si>
    <t>G16: dados na marketing digital você para negócio análise utilizar canal</t>
  </si>
  <si>
    <t>G17: و قناة أن التعليمية</t>
  </si>
  <si>
    <t>G18: é power bi</t>
  </si>
  <si>
    <t>G20: excel channel many more hello guys basic advance vba sql</t>
  </si>
  <si>
    <t>G21: sistemas rfb uma especializada implantação</t>
  </si>
  <si>
    <t>G25: power bi</t>
  </si>
  <si>
    <t>GraphSource░YouTubeUser▓GraphTerm░Power BI▓ImportDescription░The graph represents the network of YouTube videos whose title, keywords, description, categories, or author's username contain "Power BI".  The network was obtained from YouTube on Sunday, 21 June 2020 at 15:36 UTC.
The network was limited to 100 videos.
There is an edge for each user who comented an a video.  There is an edge for each user who replied to a comment.▓ImportSuggestedTitle░YouTube Users Power BI▓ImportSuggestedFileNameNoExtension░2020-06-21 15-36-26 NodeXL YouTube Users Power BI▓GroupingDescription░The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</si>
  <si>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</si>
  <si>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Weight▓1▓1▓0▓True▓Gray▓Red▓▓Edge Weight▓1▓1▓0▓2▓10▓False▓Edge Weight▓1▓1▓0▓32▓12▓False▓▓0▓0▓0▓True▓Black▓Black▓▓In-Degree▓0▓3▓0▓200▓1000▓False▓▓0▓0▓0▓0▓0▓False▓▓0▓0▓0▓0▓0▓False▓▓0▓0▓0▓0▓0▓False</t>
  </si>
  <si>
    <t>&lt;value&gt;TimeColumnName░Publishet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True False&lt;/value&gt;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t>
  </si>
  <si>
    <t>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&lt;value&gt;7&lt;/value&gt;
      &lt;/setting&gt;
      &lt;setting name="AutoSelect" serializeAs="String"&gt;
        &lt;value&gt;True&lt;/value&gt;
      &lt;/setting&gt;
      &lt;setting name="LabelUserSettings" serializeAs="String"&gt;
        &lt;value&gt;Microsoft Sans Serif, 24pt White BottomCenter 50 2147483647 Black True 410 Black 86 TopLeft Microsoft Sans Serif, 48pt Microsoft Sans Serif, 9.75pt&lt;/value&gt;
      &lt;/setting&gt;
      &lt;setting name="EdgeAlpha" serializeAs="String"&gt;
        &lt;value&gt;50&lt;/value&gt;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t>
  </si>
  <si>
    <t>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</si>
  <si>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YouTubeUser</t>
  </si>
  <si>
    <t>Power BI</t>
  </si>
  <si>
    <t>The graph represents the network of YouTube videos whose title, keywords, description, categories, or author's username contain "Power BI".  The network was obtained from YouTube on Sunday, 21 June 2020 at 15:36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</si>
  <si>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</si>
  <si>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</si>
  <si>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https://nodexlgraphgallery.org/Pages/Graph.aspx?graphID=229699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</si>
</sst>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0" fontId="0" fillId="0" borderId="0" xfId="0" applyAlignment="1" quotePrefix="1">
      <alignment wrapText="1"/>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7" xfId="22" applyFont="1" applyBorder="1" applyAlignment="1">
      <alignment/>
    </xf>
    <xf numFmtId="0" fontId="0" fillId="0" borderId="0" xfId="22"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4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45"/>
      <tableStyleElement type="headerRow" dxfId="244"/>
    </tableStyle>
    <tableStyle name="NodeXL Table" pivot="0" count="1">
      <tableStyleElement type="headerRow" dxfId="2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873127"/>
        <c:axId val="1987232"/>
      </c:barChart>
      <c:catAx>
        <c:axId val="598731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7232"/>
        <c:crosses val="autoZero"/>
        <c:auto val="1"/>
        <c:lblOffset val="100"/>
        <c:noMultiLvlLbl val="0"/>
      </c:catAx>
      <c:valAx>
        <c:axId val="19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Power BI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16-Jun
Jun
2020</c:v>
                </c:pt>
                <c:pt idx="1">
                  <c:v>17-Jun</c:v>
                </c:pt>
                <c:pt idx="2">
                  <c:v>18-Jun</c:v>
                </c:pt>
                <c:pt idx="3">
                  <c:v>19-Jun</c:v>
                </c:pt>
                <c:pt idx="4">
                  <c:v>20-Jun</c:v>
                </c:pt>
                <c:pt idx="5">
                  <c:v>21-Jun</c:v>
                </c:pt>
              </c:strCache>
            </c:strRef>
          </c:cat>
          <c:val>
            <c:numRef>
              <c:f>'Time Series'!$B$26:$B$34</c:f>
              <c:numCache>
                <c:formatCode>General</c:formatCode>
                <c:ptCount val="6"/>
                <c:pt idx="0">
                  <c:v>37</c:v>
                </c:pt>
                <c:pt idx="1">
                  <c:v>54</c:v>
                </c:pt>
                <c:pt idx="2">
                  <c:v>82</c:v>
                </c:pt>
                <c:pt idx="3">
                  <c:v>32</c:v>
                </c:pt>
                <c:pt idx="4">
                  <c:v>84</c:v>
                </c:pt>
                <c:pt idx="5">
                  <c:v>17</c:v>
                </c:pt>
              </c:numCache>
            </c:numRef>
          </c:val>
        </c:ser>
        <c:axId val="12549617"/>
        <c:axId val="45837690"/>
      </c:barChart>
      <c:catAx>
        <c:axId val="12549617"/>
        <c:scaling>
          <c:orientation val="minMax"/>
        </c:scaling>
        <c:axPos val="b"/>
        <c:delete val="0"/>
        <c:numFmt formatCode="General" sourceLinked="1"/>
        <c:majorTickMark val="out"/>
        <c:minorTickMark val="none"/>
        <c:tickLblPos val="nextTo"/>
        <c:crossAx val="45837690"/>
        <c:crosses val="autoZero"/>
        <c:auto val="1"/>
        <c:lblOffset val="100"/>
        <c:noMultiLvlLbl val="0"/>
      </c:catAx>
      <c:valAx>
        <c:axId val="45837690"/>
        <c:scaling>
          <c:orientation val="minMax"/>
        </c:scaling>
        <c:axPos val="l"/>
        <c:majorGridlines/>
        <c:delete val="0"/>
        <c:numFmt formatCode="General" sourceLinked="1"/>
        <c:majorTickMark val="out"/>
        <c:minorTickMark val="none"/>
        <c:tickLblPos val="nextTo"/>
        <c:crossAx val="12549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885089"/>
        <c:axId val="26748074"/>
      </c:barChart>
      <c:catAx>
        <c:axId val="178850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48074"/>
        <c:crosses val="autoZero"/>
        <c:auto val="1"/>
        <c:lblOffset val="100"/>
        <c:noMultiLvlLbl val="0"/>
      </c:catAx>
      <c:valAx>
        <c:axId val="2674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406075"/>
        <c:axId val="19110356"/>
      </c:barChart>
      <c:catAx>
        <c:axId val="394060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110356"/>
        <c:crosses val="autoZero"/>
        <c:auto val="1"/>
        <c:lblOffset val="100"/>
        <c:noMultiLvlLbl val="0"/>
      </c:catAx>
      <c:valAx>
        <c:axId val="19110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6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775477"/>
        <c:axId val="4434974"/>
      </c:barChart>
      <c:catAx>
        <c:axId val="377754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4974"/>
        <c:crosses val="autoZero"/>
        <c:auto val="1"/>
        <c:lblOffset val="100"/>
        <c:noMultiLvlLbl val="0"/>
      </c:catAx>
      <c:valAx>
        <c:axId val="4434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5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914767"/>
        <c:axId val="23688584"/>
      </c:barChart>
      <c:catAx>
        <c:axId val="39914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88584"/>
        <c:crosses val="autoZero"/>
        <c:auto val="1"/>
        <c:lblOffset val="100"/>
        <c:noMultiLvlLbl val="0"/>
      </c:catAx>
      <c:valAx>
        <c:axId val="23688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870665"/>
        <c:axId val="39727122"/>
      </c:barChart>
      <c:catAx>
        <c:axId val="118706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27122"/>
        <c:crosses val="autoZero"/>
        <c:auto val="1"/>
        <c:lblOffset val="100"/>
        <c:noMultiLvlLbl val="0"/>
      </c:catAx>
      <c:valAx>
        <c:axId val="3972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999779"/>
        <c:axId val="63780284"/>
      </c:barChart>
      <c:catAx>
        <c:axId val="21999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780284"/>
        <c:crosses val="autoZero"/>
        <c:auto val="1"/>
        <c:lblOffset val="100"/>
        <c:noMultiLvlLbl val="0"/>
      </c:catAx>
      <c:valAx>
        <c:axId val="6378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9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151645"/>
        <c:axId val="65929350"/>
      </c:barChart>
      <c:catAx>
        <c:axId val="371516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929350"/>
        <c:crosses val="autoZero"/>
        <c:auto val="1"/>
        <c:lblOffset val="100"/>
        <c:noMultiLvlLbl val="0"/>
      </c:catAx>
      <c:valAx>
        <c:axId val="65929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1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493239"/>
        <c:axId val="38677104"/>
      </c:barChart>
      <c:catAx>
        <c:axId val="56493239"/>
        <c:scaling>
          <c:orientation val="minMax"/>
        </c:scaling>
        <c:axPos val="b"/>
        <c:delete val="1"/>
        <c:majorTickMark val="out"/>
        <c:minorTickMark val="none"/>
        <c:tickLblPos val="none"/>
        <c:crossAx val="38677104"/>
        <c:crosses val="autoZero"/>
        <c:auto val="1"/>
        <c:lblOffset val="100"/>
        <c:noMultiLvlLbl val="0"/>
      </c:catAx>
      <c:valAx>
        <c:axId val="38677104"/>
        <c:scaling>
          <c:orientation val="minMax"/>
        </c:scaling>
        <c:axPos val="l"/>
        <c:delete val="1"/>
        <c:majorTickMark val="out"/>
        <c:minorTickMark val="none"/>
        <c:tickLblPos val="none"/>
        <c:crossAx val="56493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190500</xdr:colOff>
      <xdr:row>21</xdr:row>
      <xdr:rowOff>95250</xdr:rowOff>
    </xdr:to>
    <xdr:graphicFrame macro="">
      <xdr:nvGraphicFramePr>
        <xdr:cNvPr id="2" name="Chart 1"/>
        <xdr:cNvGraphicFramePr/>
      </xdr:nvGraphicFramePr>
      <xdr:xfrm>
        <a:off x="123825" y="123825"/>
        <a:ext cx="1010602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6" refreshedBy="Harald Meier" refreshedVersion="6">
  <cacheSource type="worksheet">
    <worksheetSource ref="A2:AP308"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MixedTypes="0" count="0"/>
    </cacheField>
    <cacheField name="Comment">
      <sharedItems containsMixedTypes="0" longText="1" count="0"/>
    </cacheField>
    <cacheField name="Author Channel ID">
      <sharedItems containsMixedTypes="0" count="0"/>
    </cacheField>
    <cacheField name="Author Display Name">
      <sharedItems containsMixedTypes="0" count="0"/>
    </cacheField>
    <cacheField name="Author Channel URL">
      <sharedItems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MixedTypes="0" count="0"/>
    </cacheField>
    <cacheField name="Like Count">
      <sharedItems containsSemiMixedTypes="0" containsString="0" containsMixedTypes="0" containsNumber="1" containsInteger="1" count="0"/>
    </cacheField>
    <cacheField name="Publishet At" numFmtId="22">
      <sharedItems containsSemiMixedTypes="0" containsNonDate="0" containsDate="1" containsString="0" containsMixedTypes="0" count="306">
        <d v="2020-06-19T19:56:26.000"/>
        <d v="2020-06-17T14:07:53.000"/>
        <d v="2020-06-19T21:41:26.000"/>
        <d v="2020-06-19T20:50:45.000"/>
        <d v="2020-06-19T10:17:54.000"/>
        <d v="2020-06-19T15:59:38.000"/>
        <d v="2020-06-16T18:01:38.000"/>
        <d v="2020-06-16T17:31:47.000"/>
        <d v="2020-06-16T19:23:33.000"/>
        <d v="2020-06-16T18:01:53.000"/>
        <d v="2020-06-17T05:34:40.000"/>
        <d v="2020-06-16T20:47:13.000"/>
        <d v="2020-06-16T20:55:22.000"/>
        <d v="2020-06-16T20:59:27.000"/>
        <d v="2020-06-16T21:04:42.000"/>
        <d v="2020-06-16T21:06:17.000"/>
        <d v="2020-06-16T21:14:57.000"/>
        <d v="2020-06-16T20:30:26.000"/>
        <d v="2020-06-17T05:42:38.000"/>
        <d v="2020-06-17T01:48:39.000"/>
        <d v="2020-06-18T11:23:20.000"/>
        <d v="2020-06-18T11:51:23.000"/>
        <d v="2020-06-18T11:35:54.000"/>
        <d v="2020-06-17T08:23:37.000"/>
        <d v="2020-06-17T05:40:19.000"/>
        <d v="2020-06-17T04:20:31.000"/>
        <d v="2020-06-19T20:31:33.000"/>
        <d v="2020-06-20T23:27:56.000"/>
        <d v="2020-06-17T21:00:51.000"/>
        <d v="2020-06-18T14:41:14.000"/>
        <d v="2020-06-18T14:44:13.000"/>
        <d v="2020-06-16T17:05:49.000"/>
        <d v="2020-06-16T18:02:58.000"/>
        <d v="2020-06-17T02:25:25.000"/>
        <d v="2020-06-17T10:27:10.000"/>
        <d v="2020-06-16T19:54:44.000"/>
        <d v="2020-06-17T05:35:41.000"/>
        <d v="2020-06-20T15:21:17.000"/>
        <d v="2020-06-17T12:36:52.000"/>
        <d v="2020-06-17T19:33:01.000"/>
        <d v="2020-06-17T19:33:37.000"/>
        <d v="2020-06-17T20:27:42.000"/>
        <d v="2020-06-17T20:37:27.000"/>
        <d v="2020-06-16T17:13:19.000"/>
        <d v="2020-06-16T22:24:55.000"/>
        <d v="2020-06-16T17:22:44.000"/>
        <d v="2020-06-17T02:48:56.000"/>
        <d v="2020-06-16T17:25:15.000"/>
        <d v="2020-06-16T18:02:18.000"/>
        <d v="2020-06-16T20:38:36.000"/>
        <d v="2020-06-17T04:07:27.000"/>
        <d v="2020-06-16T17:31:22.000"/>
        <d v="2020-06-16T19:54:21.000"/>
        <d v="2020-06-18T15:37:48.000"/>
        <d v="2020-06-16T17:39:44.000"/>
        <d v="2020-06-16T17:13:00.000"/>
        <d v="2020-06-16T19:27:54.000"/>
        <d v="2020-06-16T19:01:38.000"/>
        <d v="2020-06-17T22:30:27.000"/>
        <d v="2020-06-16T18:28:32.000"/>
        <d v="2020-06-16T17:51:26.000"/>
        <d v="2020-06-16T18:50:40.000"/>
        <d v="2020-06-16T18:20:40.000"/>
        <d v="2020-06-16T22:26:45.000"/>
        <d v="2020-06-17T10:20:52.000"/>
        <d v="2020-06-16T19:08:25.000"/>
        <d v="2020-06-18T14:40:56.000"/>
        <d v="2020-06-16T19:14:06.000"/>
        <d v="2020-06-19T00:18:36.000"/>
        <d v="2020-06-18T14:40:41.000"/>
        <d v="2020-06-16T19:22:23.000"/>
        <d v="2020-06-17T12:37:46.000"/>
        <d v="2020-06-16T19:39:55.000"/>
        <d v="2020-06-18T14:53:13.000"/>
        <d v="2020-06-17T13:49:37.000"/>
        <d v="2020-06-18T19:36:42.000"/>
        <d v="2020-06-18T14:52:30.000"/>
        <d v="2020-06-17T15:35:04.000"/>
        <d v="2020-06-18T14:51:08.000"/>
        <d v="2020-06-17T17:13:22.000"/>
        <d v="2020-06-18T14:48:58.000"/>
        <d v="2020-06-18T07:45:26.000"/>
        <d v="2020-06-18T14:48:44.000"/>
        <d v="2020-06-18T15:10:37.000"/>
        <d v="2020-06-18T08:50:38.000"/>
        <d v="2020-06-20T23:29:19.000"/>
        <d v="2020-06-19T10:34:22.000"/>
        <d v="2020-06-20T23:22:58.000"/>
        <d v="2020-06-20T23:32:24.000"/>
        <d v="2020-06-20T15:28:48.000"/>
        <d v="2020-06-18T04:27:10.000"/>
        <d v="2020-06-17T00:53:42.000"/>
        <d v="2020-06-18T04:24:36.000"/>
        <d v="2020-06-17T14:35:07.000"/>
        <d v="2020-06-17T17:28:20.000"/>
        <d v="2020-06-17T15:29:24.000"/>
        <d v="2020-06-17T13:17:48.000"/>
        <d v="2020-06-17T01:51:48.000"/>
        <d v="2020-06-17T15:38:51.000"/>
        <d v="2020-06-17T02:17:28.000"/>
        <d v="2020-06-17T13:17:23.000"/>
        <d v="2020-06-17T03:32:56.000"/>
        <d v="2020-06-17T15:38:46.000"/>
        <d v="2020-06-17T03:41:02.000"/>
        <d v="2020-06-17T20:38:52.000"/>
        <d v="2020-06-17T13:17:34.000"/>
        <d v="2020-06-17T04:27:55.000"/>
        <d v="2020-06-17T20:45:18.000"/>
        <d v="2020-06-17T14:22:41.000"/>
        <d v="2020-06-17T14:15:30.000"/>
        <d v="2020-06-17T15:02:42.000"/>
        <d v="2020-06-17T14:23:03.000"/>
        <d v="2020-06-17T15:01:13.000"/>
        <d v="2020-06-17T14:34:19.000"/>
        <d v="2020-06-18T19:15:25.000"/>
        <d v="2020-06-17T15:02:18.000"/>
        <d v="2020-06-17T16:40:49.000"/>
        <d v="2020-06-17T23:36:39.000"/>
        <d v="2020-06-17T14:35:16.000"/>
        <d v="2020-06-18T17:28:25.000"/>
        <d v="2020-06-18T17:29:58.000"/>
        <d v="2020-06-18T04:34:24.000"/>
        <d v="2020-06-18T17:28:52.000"/>
        <d v="2020-06-18T11:02:20.000"/>
        <d v="2020-06-18T17:30:10.000"/>
        <d v="2020-06-18T16:02:59.000"/>
        <d v="2020-06-18T06:50:22.000"/>
        <d v="2020-06-17T19:05:54.000"/>
        <d v="2020-06-18T06:49:16.000"/>
        <d v="2020-06-17T22:00:48.000"/>
        <d v="2020-06-18T17:36:06.000"/>
        <d v="2020-06-18T17:51:52.000"/>
        <d v="2020-06-18T10:17:04.000"/>
        <d v="2020-06-18T17:34:00.000"/>
        <d v="2020-06-18T10:21:36.000"/>
        <d v="2020-06-18T17:33:25.000"/>
        <d v="2020-06-18T10:37:33.000"/>
        <d v="2020-06-18T18:55:02.000"/>
        <d v="2020-06-18T18:05:38.000"/>
        <d v="2020-06-18T06:49:41.000"/>
        <d v="2020-06-17T21:15:22.000"/>
        <d v="2020-06-16T03:55:03.000"/>
        <d v="2020-06-16T03:54:28.000"/>
        <d v="2020-06-18T00:28:05.000"/>
        <d v="2020-06-17T23:24:05.000"/>
        <d v="2020-06-19T01:43:18.000"/>
        <d v="2020-06-19T00:32:53.000"/>
        <d v="2020-06-18T18:53:43.000"/>
        <d v="2020-06-18T02:43:31.000"/>
        <d v="2020-06-18T18:52:21.000"/>
        <d v="2020-06-18T03:09:24.000"/>
        <d v="2020-06-18T19:57:16.000"/>
        <d v="2020-06-18T19:28:55.000"/>
        <d v="2020-06-18T20:14:51.000"/>
        <d v="2020-06-19T02:50:09.000"/>
        <d v="2020-06-18T13:35:33.000"/>
        <d v="2020-06-18T14:22:34.000"/>
        <d v="2020-06-18T17:37:14.000"/>
        <d v="2020-06-18T13:54:55.000"/>
        <d v="2020-06-18T17:38:01.000"/>
        <d v="2020-06-18T14:30:32.000"/>
        <d v="2020-06-18T14:51:59.000"/>
        <d v="2020-06-18T14:32:59.000"/>
        <d v="2020-06-18T17:38:45.000"/>
        <d v="2020-06-18T15:00:56.000"/>
        <d v="2020-06-18T17:39:00.000"/>
        <d v="2020-06-18T18:32:16.000"/>
        <d v="2020-06-18T16:14:41.000"/>
        <d v="2020-06-18T17:46:57.000"/>
        <d v="2020-06-18T17:12:30.000"/>
        <d v="2020-06-18T17:47:32.000"/>
        <d v="2020-06-18T17:32:38.000"/>
        <d v="2020-06-18T20:21:23.000"/>
        <d v="2020-06-18T17:09:38.000"/>
        <d v="2020-06-18T20:21:11.000"/>
        <d v="2020-06-18T19:59:12.000"/>
        <d v="2020-06-19T01:22:37.000"/>
        <d v="2020-06-18T23:35:25.000"/>
        <d v="2020-06-19T02:58:32.000"/>
        <d v="2020-06-20T17:30:45.000"/>
        <d v="2020-06-18T17:57:38.000"/>
        <d v="2020-06-20T06:08:24.000"/>
        <d v="2020-06-20T03:40:31.000"/>
        <d v="2020-06-18T19:52:34.000"/>
        <d v="2020-06-18T19:57:19.000"/>
        <d v="2020-06-18T22:58:41.000"/>
        <d v="2020-06-20T23:37:01.000"/>
        <d v="2020-06-20T23:37:39.000"/>
        <d v="2020-06-18T18:58:14.000"/>
        <d v="2020-06-20T23:35:59.000"/>
        <d v="2020-06-18T19:46:28.000"/>
        <d v="2020-06-20T23:35:18.000"/>
        <d v="2020-06-20T23:35:44.000"/>
        <d v="2020-06-18T19:55:29.000"/>
        <d v="2020-06-20T23:32:26.000"/>
        <d v="2020-06-18T20:32:06.000"/>
        <d v="2020-06-20T23:30:41.000"/>
        <d v="2020-06-19T03:05:02.000"/>
        <d v="2020-06-20T23:30:18.000"/>
        <d v="2020-06-19T04:07:53.000"/>
        <d v="2020-06-20T23:26:52.000"/>
        <d v="2020-06-19T18:09:13.000"/>
        <d v="2020-06-20T23:26:29.000"/>
        <d v="2020-06-19T20:33:54.000"/>
        <d v="2020-06-20T23:25:25.000"/>
        <d v="2020-06-20T04:47:39.000"/>
        <d v="2020-06-18T18:57:06.000"/>
        <d v="2020-06-18T18:59:40.000"/>
        <d v="2020-06-18T18:54:15.000"/>
        <d v="2020-06-18T19:48:17.000"/>
        <d v="2020-06-18T19:24:47.000"/>
        <d v="2020-06-21T10:59:57.000"/>
        <d v="2020-06-19T00:13:24.000"/>
        <d v="2020-06-19T11:32:12.000"/>
        <d v="2020-06-19T11:42:18.000"/>
        <d v="2020-06-19T09:31:55.000"/>
        <d v="2020-06-19T11:32:07.000"/>
        <d v="2020-06-19T11:10:30.000"/>
        <d v="2020-06-19T19:12:51.000"/>
        <d v="2020-06-19T18:33:27.000"/>
        <d v="2020-06-19T19:13:16.000"/>
        <d v="2020-06-19T18:47:06.000"/>
        <d v="2020-06-20T19:34:58.000"/>
        <d v="2020-06-20T12:27:35.000"/>
        <d v="2020-06-20T19:34:41.000"/>
        <d v="2020-06-20T13:22:15.000"/>
        <d v="2020-06-20T19:35:07.000"/>
        <d v="2020-06-20T10:58:31.000"/>
        <d v="2020-06-20T19:34:10.000"/>
        <d v="2020-06-21T03:34:49.000"/>
        <d v="2020-06-20T13:29:18.000"/>
        <d v="2020-06-20T10:14:44.000"/>
        <d v="2020-06-20T10:12:18.000"/>
        <d v="2020-06-20T12:51:20.000"/>
        <d v="2020-06-20T12:48:29.000"/>
        <d v="2020-06-20T12:55:05.000"/>
        <d v="2020-06-20T12:52:24.000"/>
        <d v="2020-06-20T14:10:04.000"/>
        <d v="2020-06-20T12:12:07.000"/>
        <d v="2020-06-20T14:46:39.000"/>
        <d v="2020-06-20T14:50:15.000"/>
        <d v="2020-06-20T14:52:04.000"/>
        <d v="2020-06-20T13:48:25.000"/>
        <d v="2020-06-20T14:09:54.000"/>
        <d v="2020-06-20T14:13:04.000"/>
        <d v="2020-06-20T12:41:37.000"/>
        <d v="2020-06-20T15:50:58.000"/>
        <d v="2020-06-20T15:55:41.000"/>
        <d v="2020-06-20T15:40:47.000"/>
        <d v="2020-06-20T05:19:14.000"/>
        <d v="2020-06-20T12:58:06.000"/>
        <d v="2020-06-20T05:31:33.000"/>
        <d v="2020-06-20T12:57:57.000"/>
        <d v="2020-06-20T08:26:01.000"/>
        <d v="2020-06-20T14:45:57.000"/>
        <d v="2020-06-20T13:06:14.000"/>
        <d v="2020-06-20T14:46:18.000"/>
        <d v="2020-06-20T13:07:03.000"/>
        <d v="2020-06-20T12:57:48.000"/>
        <d v="2020-06-20T12:03:16.000"/>
        <d v="2020-06-20T17:44:19.000"/>
        <d v="2020-06-20T14:47:54.000"/>
        <d v="2020-06-20T17:44:50.000"/>
        <d v="2020-06-20T16:20:55.000"/>
        <d v="2020-06-20T09:58:09.000"/>
        <d v="2020-06-20T09:48:07.000"/>
        <d v="2020-06-19T22:07:01.000"/>
        <d v="2020-06-19T21:15:28.000"/>
        <d v="2020-06-20T14:44:33.000"/>
        <d v="2020-06-20T14:17:07.000"/>
        <d v="2020-06-20T16:34:28.000"/>
        <d v="2020-06-20T15:31:27.000"/>
        <d v="2020-06-21T04:02:13.000"/>
        <d v="2020-06-20T22:00:09.000"/>
        <d v="2020-06-20T16:02:51.000"/>
        <d v="2020-06-20T15:28:10.000"/>
        <d v="2020-06-20T16:02:58.000"/>
        <d v="2020-06-20T15:51:02.000"/>
        <d v="2020-06-19T17:31:07.000"/>
        <d v="2020-06-19T17:13:05.000"/>
        <d v="2020-06-20T16:03:03.000"/>
        <d v="2020-06-20T15:52:22.000"/>
        <d v="2020-06-20T17:43:58.000"/>
        <d v="2020-06-20T16:50:58.000"/>
        <d v="2020-06-21T03:50:46.000"/>
        <d v="2020-06-21T00:58:03.000"/>
        <d v="2020-06-21T03:50:42.000"/>
        <d v="2020-06-21T03:47:56.000"/>
        <d v="2020-06-20T23:21:08.000"/>
        <d v="2020-06-20T18:29:11.000"/>
        <d v="2020-06-21T00:30:52.000"/>
        <d v="2020-06-20T23:26:03.000"/>
        <d v="2020-06-21T02:11:01.000"/>
        <d v="2020-06-21T00:46:36.000"/>
        <d v="2020-06-20T22:45:31.000"/>
        <d v="2020-06-20T22:24:57.000"/>
        <d v="2020-06-21T05:36:04.000"/>
        <d v="2020-06-19T22:14:44.000"/>
        <d v="2020-06-20T20:39:09.000"/>
        <d v="2020-06-20T20:15:43.000"/>
        <d v="2020-06-21T07:28:08.000"/>
        <d v="2020-06-21T07:26:59.000"/>
        <d v="2020-06-21T09:05:23.000"/>
        <d v="2020-06-21T08:46:32.000"/>
        <d v="2020-06-21T11:02:38.000"/>
        <d v="2020-06-21T10:32:45.000"/>
      </sharedItems>
      <fieldGroup par="43" base="25">
        <rangePr groupBy="days" autoEnd="1" autoStart="1" startDate="2020-06-16T03:54:28.000" endDate="2020-06-21T11:02:38.000"/>
        <groupItems count="368">
          <s v="&lt;6/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0"/>
        </groupItems>
      </fieldGroup>
    </cacheField>
    <cacheField name="Updated At" numFmtId="22">
      <sharedItems containsSemiMixedTypes="0" containsNonDate="0" containsDate="1" containsString="0" containsMixedTypes="0" count="0"/>
    </cacheField>
    <cacheField name="URLs In Comment">
      <sharedItems containsBlank="1" containsMixedTypes="0" longText="1"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 name="Months" databaseField="0">
      <sharedItems containsMixedTypes="0" count="0"/>
      <fieldGroup base="25">
        <rangePr groupBy="months" autoEnd="1" autoStart="1" startDate="2020-06-16T03:54:28.000" endDate="2020-06-21T11:02:38.000"/>
        <groupItems count="14">
          <s v="&lt;6/16/2020"/>
          <s v="Jan"/>
          <s v="Feb"/>
          <s v="Mar"/>
          <s v="Apr"/>
          <s v="May"/>
          <s v="Jun"/>
          <s v="Jul"/>
          <s v="Aug"/>
          <s v="Sep"/>
          <s v="Oct"/>
          <s v="Nov"/>
          <s v="Dec"/>
          <s v="&gt;6/21/2020"/>
        </groupItems>
      </fieldGroup>
    </cacheField>
    <cacheField name="Years" databaseField="0">
      <sharedItems containsMixedTypes="0" count="0"/>
      <fieldGroup base="25">
        <rangePr groupBy="years" autoEnd="1" autoStart="1" startDate="2020-06-16T03:54:28.000" endDate="2020-06-21T11:02:38.000"/>
        <groupItems count="3">
          <s v="&lt;6/16/2020"/>
          <s v="2020"/>
          <s v="&gt;6/21/2020"/>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306">
  <r>
    <s v="UCusu-y_cy_0fXxOwCTmELqw"/>
    <s v="UCKWPSdZrvYUribmNP8ciY-g"/>
    <m/>
    <m/>
    <m/>
    <m/>
    <m/>
    <m/>
    <m/>
    <m/>
    <s v="Yes"/>
    <n v="3"/>
    <m/>
    <m/>
    <s v="Replied Comment"/>
    <s v="Reply"/>
    <s v="Olá teria que verificar se não existe algum filtro aplicado no Power Query...temos uma equipe de consultoria que talvez possa te ajudar entra emc ontato pelo consultorias@&lt;a href=&quot;http://planilheiros.com.br/&quot;&gt;planilheiros.com.br&lt;/a&gt;"/>
    <s v="UCusu-y_cy_0fXxOwCTmELqw"/>
    <s v="Planilheiros"/>
    <s v="http://www.youtube.com/channel/UCusu-y_cy_0fXxOwCTmELqw"/>
    <s v="UgxwMiKSwPH95EhMCE94AaABAg"/>
    <s v="stXFmnQF9zg"/>
    <s v="https://www.youtube.com/watch?v=stXFmnQF9zg"/>
    <s v="none"/>
    <n v="0"/>
    <x v="0"/>
    <d v="2020-06-19T19:56:26.000"/>
    <s v=" http://planilheiros.com.br/"/>
    <s v="com.br"/>
    <m/>
    <n v="1"/>
    <s v="23"/>
    <s v="23"/>
    <m/>
    <m/>
    <m/>
    <m/>
    <m/>
    <m/>
    <m/>
    <m/>
    <m/>
  </r>
  <r>
    <s v="UCKWPSdZrvYUribmNP8ciY-g"/>
    <s v="UCusu-y_cy_0fXxOwCTmELqw"/>
    <m/>
    <m/>
    <m/>
    <m/>
    <m/>
    <m/>
    <m/>
    <m/>
    <s v="Yes"/>
    <n v="4"/>
    <m/>
    <m/>
    <s v="Commented Video"/>
    <s v="Comment"/>
    <s v="olá, &lt;br /&gt;&lt;br /&gt;gosto muito dos videos de vocês e estou com um problema no meu BI.&lt;br /&gt;temos o BI implementado numa empresa com consulta no BD Oracle.&lt;br /&gt;todas as tabelas estão atualizadas mas possuímos um grupo de medidas que se encontra desatualizado. Mostra a data da ultima atualização em dezembro do ano passado. Clico para atualizar, roda a atualização sem contar números de linhas e termina informando que foi atualizado, porem ao passar o mouse por cima das medidas as mesmas continuam informando que a ultima atualização foi ano passado em dezembro.&lt;br /&gt;&lt;br /&gt;Conseguem me dar uma luz?&lt;br /&gt;&lt;br /&gt;att."/>
    <s v="UCKWPSdZrvYUribmNP8ciY-g"/>
    <s v="MrLulisky"/>
    <s v="http://www.youtube.com/channel/UCKWPSdZrvYUribmNP8ciY-g"/>
    <m/>
    <s v="stXFmnQF9zg"/>
    <s v="https://www.youtube.com/watch?v=stXFmnQF9zg"/>
    <s v="none"/>
    <n v="0"/>
    <x v="1"/>
    <d v="2020-06-17T14:07:53.000"/>
    <m/>
    <m/>
    <m/>
    <n v="1"/>
    <s v="23"/>
    <s v="23"/>
    <m/>
    <m/>
    <m/>
    <m/>
    <m/>
    <m/>
    <m/>
    <m/>
    <m/>
  </r>
  <r>
    <s v="UCusu-y_cy_0fXxOwCTmELqw"/>
    <s v="UCOByKzOYpe3HPPY24BgVQ5g"/>
    <m/>
    <m/>
    <m/>
    <m/>
    <m/>
    <m/>
    <m/>
    <m/>
    <s v="Yes"/>
    <n v="5"/>
    <m/>
    <m/>
    <s v="Replied Comment"/>
    <s v="Reply"/>
    <s v="TMJ conterrânea..."/>
    <s v="UCusu-y_cy_0fXxOwCTmELqw"/>
    <s v="Planilheiros"/>
    <s v="http://www.youtube.com/channel/UCusu-y_cy_0fXxOwCTmELqw"/>
    <s v="UgzS5hk57Gmp_qbpXmh4AaABAg"/>
    <s v="stXFmnQF9zg"/>
    <s v="https://www.youtube.com/watch?v=stXFmnQF9zg"/>
    <s v="none"/>
    <n v="0"/>
    <x v="2"/>
    <d v="2020-06-19T21:41:26.000"/>
    <m/>
    <m/>
    <m/>
    <n v="1"/>
    <s v="23"/>
    <s v="23"/>
    <m/>
    <m/>
    <m/>
    <m/>
    <m/>
    <m/>
    <m/>
    <m/>
    <m/>
  </r>
  <r>
    <s v="UCOByKzOYpe3HPPY24BgVQ5g"/>
    <s v="UCusu-y_cy_0fXxOwCTmELqw"/>
    <m/>
    <m/>
    <m/>
    <m/>
    <m/>
    <m/>
    <m/>
    <m/>
    <s v="Yes"/>
    <n v="6"/>
    <m/>
    <m/>
    <s v="Commented Video"/>
    <s v="Comment"/>
    <s v="Sou do Ceará  tbm....."/>
    <s v="UCOByKzOYpe3HPPY24BgVQ5g"/>
    <s v="Eliseuda Brito"/>
    <s v="http://www.youtube.com/channel/UCOByKzOYpe3HPPY24BgVQ5g"/>
    <m/>
    <s v="stXFmnQF9zg"/>
    <s v="https://www.youtube.com/watch?v=stXFmnQF9zg"/>
    <s v="none"/>
    <n v="0"/>
    <x v="3"/>
    <d v="2020-06-19T20:50:45.000"/>
    <m/>
    <m/>
    <m/>
    <n v="1"/>
    <s v="23"/>
    <s v="23"/>
    <m/>
    <m/>
    <m/>
    <m/>
    <m/>
    <m/>
    <m/>
    <m/>
    <m/>
  </r>
  <r>
    <s v="UCN1NTRS4mHArmIuhpnCqXOw"/>
    <s v="UCvIr-n9Azj1msNnHekgsOyA"/>
    <m/>
    <m/>
    <m/>
    <m/>
    <m/>
    <m/>
    <m/>
    <m/>
    <s v="No"/>
    <n v="7"/>
    <m/>
    <m/>
    <s v="Commented Video"/>
    <s v="Comment"/>
    <s v="Mantap cara Pembuatan Visualisasi data, Sukses terus Channel. Saling support, ditunggu Subscribe baik ya shob. 👍"/>
    <s v="UCN1NTRS4mHArmIuhpnCqXOw"/>
    <s v="MANTUL MancingTulang"/>
    <s v="http://www.youtube.com/channel/UCN1NTRS4mHArmIuhpnCqXOw"/>
    <m/>
    <s v="01b8CNNiqMI"/>
    <s v="https://www.youtube.com/watch?v=01b8CNNiqMI"/>
    <s v="none"/>
    <n v="0"/>
    <x v="4"/>
    <d v="2020-06-19T10:17:54.000"/>
    <m/>
    <m/>
    <m/>
    <n v="1"/>
    <s v="26"/>
    <s v="26"/>
    <m/>
    <m/>
    <m/>
    <m/>
    <m/>
    <m/>
    <m/>
    <m/>
    <m/>
  </r>
  <r>
    <s v="UCN1NTRS4mHArmIuhpnCqXOw"/>
    <s v="UCN1NTRS4mHArmIuhpnCqXOw"/>
    <m/>
    <m/>
    <m/>
    <m/>
    <m/>
    <m/>
    <m/>
    <m/>
    <s v="No"/>
    <n v="8"/>
    <m/>
    <m/>
    <s v="Replied Comment"/>
    <s v="Reply"/>
    <s v="@Reandri Techno Ok Sobat saling Support. 👍"/>
    <s v="UCN1NTRS4mHArmIuhpnCqXOw"/>
    <s v="MANTUL MancingTulang"/>
    <s v="http://www.youtube.com/channel/UCN1NTRS4mHArmIuhpnCqXOw"/>
    <s v="Ugzcyfn4cuGjXbAjEZt4AaABAg"/>
    <s v="01b8CNNiqMI"/>
    <s v="https://www.youtube.com/watch?v=01b8CNNiqMI"/>
    <s v="none"/>
    <n v="0"/>
    <x v="5"/>
    <d v="2020-06-19T15:59:38.000"/>
    <m/>
    <m/>
    <m/>
    <n v="1"/>
    <s v="26"/>
    <s v="26"/>
    <m/>
    <m/>
    <m/>
    <m/>
    <m/>
    <m/>
    <m/>
    <m/>
    <m/>
  </r>
  <r>
    <s v="UC-h-wArcxJC8zBOD-UxfCOg"/>
    <s v="UCgLtWv7Ck8aFPNISkPm5LsQ"/>
    <m/>
    <m/>
    <m/>
    <m/>
    <m/>
    <m/>
    <m/>
    <m/>
    <s v="Yes"/>
    <n v="9"/>
    <m/>
    <m/>
    <s v="Replied Comment"/>
    <s v="Reply"/>
    <s v="Thank you Raphael! That means a lot."/>
    <s v="UC-h-wArcxJC8zBOD-UxfCOg"/>
    <s v="BI Elite"/>
    <s v="http://www.youtube.com/channel/UC-h-wArcxJC8zBOD-UxfCOg"/>
    <s v="UgxgBM9xJ34L83Goc_h4AaABAg"/>
    <s v="cTqFNg_y9lw"/>
    <s v="https://www.youtube.com/watch?v=cTqFNg_y9lw"/>
    <s v="none"/>
    <n v="2"/>
    <x v="6"/>
    <d v="2020-06-16T18:01:38.000"/>
    <m/>
    <m/>
    <m/>
    <n v="1"/>
    <s v="5"/>
    <s v="5"/>
    <m/>
    <m/>
    <m/>
    <m/>
    <m/>
    <m/>
    <m/>
    <m/>
    <m/>
  </r>
  <r>
    <s v="UCgLtWv7Ck8aFPNISkPm5LsQ"/>
    <s v="UC-h-wArcxJC8zBOD-UxfCOg"/>
    <m/>
    <m/>
    <m/>
    <m/>
    <m/>
    <m/>
    <m/>
    <m/>
    <s v="Yes"/>
    <n v="10"/>
    <m/>
    <m/>
    <s v="Commented Video"/>
    <s v="Comment"/>
    <s v="Thank you so much for sharing your knowledge!&lt;br /&gt;&lt;br /&gt;I really admire your work!&lt;br /&gt;&lt;br /&gt;Congratulations!"/>
    <s v="UCgLtWv7Ck8aFPNISkPm5LsQ"/>
    <s v="Raphael Pacheco"/>
    <s v="http://www.youtube.com/channel/UCgLtWv7Ck8aFPNISkPm5LsQ"/>
    <m/>
    <s v="cTqFNg_y9lw"/>
    <s v="https://www.youtube.com/watch?v=cTqFNg_y9lw"/>
    <s v="none"/>
    <n v="3"/>
    <x v="7"/>
    <d v="2020-06-16T17:31:47.000"/>
    <m/>
    <m/>
    <m/>
    <n v="1"/>
    <s v="5"/>
    <s v="5"/>
    <m/>
    <m/>
    <m/>
    <m/>
    <m/>
    <m/>
    <m/>
    <m/>
    <m/>
  </r>
  <r>
    <s v="UC-h-wArcxJC8zBOD-UxfCOg"/>
    <s v="UCQ8FoQV00xTeNYeDUgbZQiA"/>
    <m/>
    <m/>
    <m/>
    <m/>
    <m/>
    <m/>
    <m/>
    <m/>
    <s v="Yes"/>
    <n v="11"/>
    <m/>
    <m/>
    <s v="Replied Comment"/>
    <s v="Reply"/>
    <s v="Sounds good, Mario!"/>
    <s v="UC-h-wArcxJC8zBOD-UxfCOg"/>
    <s v="BI Elite"/>
    <s v="http://www.youtube.com/channel/UC-h-wArcxJC8zBOD-UxfCOg"/>
    <s v="Ugx7RfzMS7cPFIAqRkt4AaABAg"/>
    <s v="cTqFNg_y9lw"/>
    <s v="https://www.youtube.com/watch?v=cTqFNg_y9lw"/>
    <s v="none"/>
    <n v="0"/>
    <x v="8"/>
    <d v="2020-06-16T19:23:33.000"/>
    <m/>
    <m/>
    <m/>
    <n v="1"/>
    <s v="5"/>
    <s v="5"/>
    <m/>
    <m/>
    <m/>
    <m/>
    <m/>
    <m/>
    <m/>
    <m/>
    <m/>
  </r>
  <r>
    <s v="UCQ8FoQV00xTeNYeDUgbZQiA"/>
    <s v="UC-h-wArcxJC8zBOD-UxfCOg"/>
    <m/>
    <m/>
    <m/>
    <m/>
    <m/>
    <m/>
    <m/>
    <m/>
    <s v="Yes"/>
    <n v="12"/>
    <m/>
    <m/>
    <s v="Commented Video"/>
    <s v="Comment"/>
    <s v="Great. I look forward to seeing the upcoming videos."/>
    <s v="UCQ8FoQV00xTeNYeDUgbZQiA"/>
    <s v="Mario Böhme"/>
    <s v="http://www.youtube.com/channel/UCQ8FoQV00xTeNYeDUgbZQiA"/>
    <m/>
    <s v="cTqFNg_y9lw"/>
    <s v="https://www.youtube.com/watch?v=cTqFNg_y9lw"/>
    <s v="none"/>
    <n v="2"/>
    <x v="9"/>
    <d v="2020-06-16T18:01:53.000"/>
    <m/>
    <m/>
    <m/>
    <n v="1"/>
    <s v="5"/>
    <s v="5"/>
    <m/>
    <m/>
    <m/>
    <m/>
    <m/>
    <m/>
    <m/>
    <m/>
    <m/>
  </r>
  <r>
    <s v="UCMT2TLv-CAyCuGJygoza4yg"/>
    <s v="UCbRbT2swDvJdUxLtbse5Ycw"/>
    <m/>
    <m/>
    <m/>
    <m/>
    <m/>
    <m/>
    <m/>
    <m/>
    <s v="No"/>
    <n v="13"/>
    <m/>
    <m/>
    <s v="Replied Comment"/>
    <s v="Reply"/>
    <s v="+ 1 .. looking forward to Thursday 😁"/>
    <s v="UCMT2TLv-CAyCuGJygoza4yg"/>
    <s v="CFosund"/>
    <s v="http://www.youtube.com/channel/UCMT2TLv-CAyCuGJygoza4yg"/>
    <s v="Ugz_6fdd3LqKGZRgcnN4AaABAg"/>
    <s v="cTqFNg_y9lw"/>
    <s v="https://www.youtube.com/watch?v="/>
    <s v="none"/>
    <n v="1"/>
    <x v="10"/>
    <d v="2020-06-17T05:34:40.000"/>
    <m/>
    <m/>
    <m/>
    <n v="1"/>
    <s v="5"/>
    <s v="5"/>
    <m/>
    <m/>
    <m/>
    <m/>
    <m/>
    <m/>
    <m/>
    <m/>
    <m/>
  </r>
  <r>
    <s v="UC-h-wArcxJC8zBOD-UxfCOg"/>
    <s v="UCbRbT2swDvJdUxLtbse5Ycw"/>
    <m/>
    <m/>
    <m/>
    <m/>
    <m/>
    <m/>
    <m/>
    <m/>
    <s v="Yes"/>
    <n v="14"/>
    <m/>
    <m/>
    <s v="Replied Comment"/>
    <s v="Reply"/>
    <s v="Glad to hear that you&amp;#39;re interested! This is a relatively dry topic for some."/>
    <s v="UC-h-wArcxJC8zBOD-UxfCOg"/>
    <s v="BI Elite"/>
    <s v="http://www.youtube.com/channel/UC-h-wArcxJC8zBOD-UxfCOg"/>
    <s v="Ugz_6fdd3LqKGZRgcnN4AaABAg"/>
    <s v="cTqFNg_y9lw"/>
    <s v="https://www.youtube.com/watch?v="/>
    <s v="none"/>
    <n v="0"/>
    <x v="11"/>
    <d v="2020-06-16T20:47:13.000"/>
    <m/>
    <m/>
    <m/>
    <n v="3"/>
    <s v="5"/>
    <s v="5"/>
    <m/>
    <m/>
    <m/>
    <m/>
    <m/>
    <m/>
    <m/>
    <m/>
    <m/>
  </r>
  <r>
    <s v="UCbRbT2swDvJdUxLtbse5Ycw"/>
    <s v="UCbRbT2swDvJdUxLtbse5Ycw"/>
    <m/>
    <m/>
    <m/>
    <m/>
    <m/>
    <m/>
    <m/>
    <m/>
    <s v="No"/>
    <n v="15"/>
    <m/>
    <m/>
    <s v="Replied Comment"/>
    <s v="Reply"/>
    <s v="@BI Elite i had for the longest time, been looking for a nice and easy way to grab JWTs in PowerQuery. There is a lot on these lines I could deliver to my org and definitely learn a lot doing so."/>
    <s v="UCbRbT2swDvJdUxLtbse5Ycw"/>
    <s v="Sourav Agasti"/>
    <s v="http://www.youtube.com/channel/UCbRbT2swDvJdUxLtbse5Ycw"/>
    <s v="Ugz_6fdd3LqKGZRgcnN4AaABAg"/>
    <s v="cTqFNg_y9lw"/>
    <s v="https://www.youtube.com/watch?v="/>
    <s v="none"/>
    <n v="1"/>
    <x v="12"/>
    <d v="2020-06-16T21:13:09.000"/>
    <m/>
    <m/>
    <m/>
    <n v="3"/>
    <s v="5"/>
    <s v="5"/>
    <m/>
    <m/>
    <m/>
    <m/>
    <m/>
    <m/>
    <m/>
    <m/>
    <m/>
  </r>
  <r>
    <s v="UC-h-wArcxJC8zBOD-UxfCOg"/>
    <s v="UCbRbT2swDvJdUxLtbse5Ycw"/>
    <m/>
    <m/>
    <m/>
    <m/>
    <m/>
    <m/>
    <m/>
    <m/>
    <s v="Yes"/>
    <n v="16"/>
    <m/>
    <m/>
    <s v="Replied Comment"/>
    <s v="Reply"/>
    <s v="Spoiler: I like the method a lot but there still is a manual step involved. As stated in this video, you can&amp;#39;t combine multiple web data sources in a single query. So the flow is like this 1) Grab JWT 2) Paste the new JWT in a parameter 3) Reference the parameter in the other queries. You can work around this if you save the JWT to a file on sharepoint or something, but that would take a lot of setup."/>
    <s v="UC-h-wArcxJC8zBOD-UxfCOg"/>
    <s v="BI Elite"/>
    <s v="http://www.youtube.com/channel/UC-h-wArcxJC8zBOD-UxfCOg"/>
    <s v="Ugz_6fdd3LqKGZRgcnN4AaABAg"/>
    <s v="cTqFNg_y9lw"/>
    <s v="https://www.youtube.com/watch?v="/>
    <s v="none"/>
    <n v="1"/>
    <x v="13"/>
    <d v="2020-06-16T20:59:27.000"/>
    <m/>
    <m/>
    <m/>
    <n v="3"/>
    <s v="5"/>
    <s v="5"/>
    <m/>
    <m/>
    <m/>
    <m/>
    <m/>
    <m/>
    <m/>
    <m/>
    <m/>
  </r>
  <r>
    <s v="UCbRbT2swDvJdUxLtbse5Ycw"/>
    <s v="UCbRbT2swDvJdUxLtbse5Ycw"/>
    <m/>
    <m/>
    <m/>
    <m/>
    <m/>
    <m/>
    <m/>
    <m/>
    <s v="No"/>
    <n v="17"/>
    <m/>
    <m/>
    <s v="Replied Comment"/>
    <s v="Reply"/>
    <s v="@BI Elite I actually had thought of something but didn&amp;#39;t get time to advance on it. My thought involved running a CRON job or scheduling a python/powershell script to generate JWT and dump it into a flat file on a secure location and keep replacing the file at a set frequency. PBI would just point to that file to grab the token. I would wait for your next video! You run a cool channel."/>
    <s v="UCbRbT2swDvJdUxLtbse5Ycw"/>
    <s v="Sourav Agasti"/>
    <s v="http://www.youtube.com/channel/UCbRbT2swDvJdUxLtbse5Ycw"/>
    <s v="Ugz_6fdd3LqKGZRgcnN4AaABAg"/>
    <s v="cTqFNg_y9lw"/>
    <s v="https://www.youtube.com/watch?v="/>
    <s v="none"/>
    <n v="1"/>
    <x v="14"/>
    <d v="2020-06-16T21:14:32.000"/>
    <m/>
    <m/>
    <m/>
    <n v="3"/>
    <s v="5"/>
    <s v="5"/>
    <m/>
    <m/>
    <m/>
    <m/>
    <m/>
    <m/>
    <m/>
    <m/>
    <m/>
  </r>
  <r>
    <s v="UC-h-wArcxJC8zBOD-UxfCOg"/>
    <s v="UCbRbT2swDvJdUxLtbse5Ycw"/>
    <m/>
    <m/>
    <m/>
    <m/>
    <m/>
    <m/>
    <m/>
    <m/>
    <s v="Yes"/>
    <n v="18"/>
    <m/>
    <m/>
    <s v="Replied Comment"/>
    <s v="Reply"/>
    <s v="Whoa... thanks for asking about this. I just figured out a way to make this fully automated! Video probably coming Thursday ;)"/>
    <s v="UC-h-wArcxJC8zBOD-UxfCOg"/>
    <s v="BI Elite"/>
    <s v="http://www.youtube.com/channel/UC-h-wArcxJC8zBOD-UxfCOg"/>
    <s v="Ugz_6fdd3LqKGZRgcnN4AaABAg"/>
    <s v="cTqFNg_y9lw"/>
    <s v="https://www.youtube.com/watch?v="/>
    <s v="none"/>
    <n v="3"/>
    <x v="15"/>
    <d v="2020-06-16T21:06:17.000"/>
    <m/>
    <m/>
    <m/>
    <n v="3"/>
    <s v="5"/>
    <s v="5"/>
    <m/>
    <m/>
    <m/>
    <m/>
    <m/>
    <m/>
    <m/>
    <m/>
    <m/>
  </r>
  <r>
    <s v="UCbRbT2swDvJdUxLtbse5Ycw"/>
    <s v="UCbRbT2swDvJdUxLtbse5Ycw"/>
    <m/>
    <m/>
    <m/>
    <m/>
    <m/>
    <m/>
    <m/>
    <m/>
    <s v="No"/>
    <n v="19"/>
    <m/>
    <m/>
    <s v="Replied Comment"/>
    <s v="Reply"/>
    <s v="@BI Elite much appreciated!"/>
    <s v="UCbRbT2swDvJdUxLtbse5Ycw"/>
    <s v="Sourav Agasti"/>
    <s v="http://www.youtube.com/channel/UCbRbT2swDvJdUxLtbse5Ycw"/>
    <s v="Ugz_6fdd3LqKGZRgcnN4AaABAg"/>
    <s v="cTqFNg_y9lw"/>
    <s v="https://www.youtube.com/watch?v="/>
    <s v="none"/>
    <n v="0"/>
    <x v="16"/>
    <d v="2020-06-16T21:14:57.000"/>
    <m/>
    <m/>
    <m/>
    <n v="3"/>
    <s v="5"/>
    <s v="5"/>
    <m/>
    <m/>
    <m/>
    <m/>
    <m/>
    <m/>
    <m/>
    <m/>
    <m/>
  </r>
  <r>
    <s v="UCbRbT2swDvJdUxLtbse5Ycw"/>
    <s v="UC-h-wArcxJC8zBOD-UxfCOg"/>
    <m/>
    <m/>
    <m/>
    <m/>
    <m/>
    <m/>
    <m/>
    <m/>
    <s v="Yes"/>
    <n v="20"/>
    <m/>
    <m/>
    <s v="Commented Video"/>
    <s v="Comment"/>
    <s v="Nice one. Eagerly waiting for how you keep grabbing the latest JWT!"/>
    <s v="UCbRbT2swDvJdUxLtbse5Ycw"/>
    <s v="Sourav Agasti"/>
    <s v="http://www.youtube.com/channel/UCbRbT2swDvJdUxLtbse5Ycw"/>
    <m/>
    <s v="cTqFNg_y9lw"/>
    <s v="https://www.youtube.com/watch?v=cTqFNg_y9lw"/>
    <s v="none"/>
    <n v="2"/>
    <x v="17"/>
    <d v="2020-06-16T20:30:26.000"/>
    <m/>
    <m/>
    <m/>
    <n v="1"/>
    <s v="5"/>
    <s v="5"/>
    <m/>
    <m/>
    <m/>
    <m/>
    <m/>
    <m/>
    <m/>
    <m/>
    <m/>
  </r>
  <r>
    <s v="UC-h-wArcxJC8zBOD-UxfCOg"/>
    <s v="UCFrlL2ETbR5Ut4zRY4rGlbA"/>
    <m/>
    <m/>
    <m/>
    <m/>
    <m/>
    <m/>
    <m/>
    <m/>
    <s v="Yes"/>
    <n v="21"/>
    <m/>
    <m/>
    <s v="Replied Comment"/>
    <s v="Reply"/>
    <s v="Yes it’s quite fun to dig around the API and see what data can be returned! Stay tuned for the following parts."/>
    <s v="UC-h-wArcxJC8zBOD-UxfCOg"/>
    <s v="BI Elite"/>
    <s v="http://www.youtube.com/channel/UC-h-wArcxJC8zBOD-UxfCOg"/>
    <s v="Ugxw1xe7FK46YwyvNq54AaABAg"/>
    <s v="cTqFNg_y9lw"/>
    <s v="https://www.youtube.com/watch?v=cTqFNg_y9lw"/>
    <s v="none"/>
    <n v="1"/>
    <x v="18"/>
    <d v="2020-06-17T05:42:38.000"/>
    <m/>
    <m/>
    <m/>
    <n v="1"/>
    <s v="5"/>
    <s v="5"/>
    <m/>
    <m/>
    <m/>
    <m/>
    <m/>
    <m/>
    <m/>
    <m/>
    <m/>
  </r>
  <r>
    <s v="UCFrlL2ETbR5Ut4zRY4rGlbA"/>
    <s v="UC-h-wArcxJC8zBOD-UxfCOg"/>
    <m/>
    <m/>
    <m/>
    <m/>
    <m/>
    <m/>
    <m/>
    <m/>
    <s v="Yes"/>
    <n v="22"/>
    <m/>
    <m/>
    <s v="Commented Video"/>
    <s v="Comment"/>
    <s v="Exceptional..&lt;br /&gt;&lt;br /&gt;Never explored rest apis this way..&lt;br /&gt;&lt;br /&gt;Keep enlightening.. :)"/>
    <s v="UCFrlL2ETbR5Ut4zRY4rGlbA"/>
    <s v="tejas brahmbatt"/>
    <s v="http://www.youtube.com/channel/UCFrlL2ETbR5Ut4zRY4rGlbA"/>
    <m/>
    <s v="cTqFNg_y9lw"/>
    <s v="https://www.youtube.com/watch?v=cTqFNg_y9lw"/>
    <s v="none"/>
    <n v="1"/>
    <x v="19"/>
    <d v="2020-06-17T01:48:39.000"/>
    <m/>
    <m/>
    <m/>
    <n v="1"/>
    <s v="5"/>
    <s v="5"/>
    <m/>
    <m/>
    <m/>
    <m/>
    <m/>
    <m/>
    <m/>
    <m/>
    <m/>
  </r>
  <r>
    <s v="UCIuBeymsrTVZxiIMI6614Cg"/>
    <s v="UC4whMI1SFiEZvJZiKMgwCnQ"/>
    <m/>
    <m/>
    <m/>
    <m/>
    <m/>
    <m/>
    <m/>
    <m/>
    <s v="No"/>
    <n v="23"/>
    <m/>
    <m/>
    <s v="Replied Comment"/>
    <s v="Reply"/>
    <s v="Anonymous is great - no credentials needed. it worked for me"/>
    <s v="UCIuBeymsrTVZxiIMI6614Cg"/>
    <s v="Yagel Hen"/>
    <s v="http://www.youtube.com/channel/UCIuBeymsrTVZxiIMI6614Cg"/>
    <s v="Ugw9xuGB1F0sGkgM4xt4AaABAg"/>
    <s v="cTqFNg_y9lw"/>
    <s v="https://www.youtube.com/watch?v=cTqFNg_y9lw"/>
    <s v="none"/>
    <n v="1"/>
    <x v="20"/>
    <d v="2020-06-18T11:23:20.000"/>
    <m/>
    <m/>
    <m/>
    <n v="2"/>
    <s v="5"/>
    <s v="5"/>
    <m/>
    <m/>
    <m/>
    <m/>
    <m/>
    <m/>
    <m/>
    <m/>
    <m/>
  </r>
  <r>
    <s v="UCIuBeymsrTVZxiIMI6614Cg"/>
    <s v="UC4whMI1SFiEZvJZiKMgwCnQ"/>
    <m/>
    <m/>
    <m/>
    <m/>
    <m/>
    <m/>
    <m/>
    <m/>
    <s v="No"/>
    <n v="24"/>
    <m/>
    <m/>
    <s v="Replied Comment"/>
    <s v="Reply"/>
    <s v="@Nir Robinson Happened to me as well  ;-)"/>
    <s v="UCIuBeymsrTVZxiIMI6614Cg"/>
    <s v="Yagel Hen"/>
    <s v="http://www.youtube.com/channel/UCIuBeymsrTVZxiIMI6614Cg"/>
    <s v="Ugw9xuGB1F0sGkgM4xt4AaABAg"/>
    <s v="cTqFNg_y9lw"/>
    <s v="https://www.youtube.com/watch?v=cTqFNg_y9lw"/>
    <s v="none"/>
    <n v="0"/>
    <x v="21"/>
    <d v="2020-06-18T11:51:23.000"/>
    <m/>
    <m/>
    <m/>
    <n v="2"/>
    <s v="5"/>
    <s v="5"/>
    <m/>
    <m/>
    <m/>
    <m/>
    <m/>
    <m/>
    <m/>
    <m/>
    <m/>
  </r>
  <r>
    <s v="UC4whMI1SFiEZvJZiKMgwCnQ"/>
    <s v="UC4whMI1SFiEZvJZiKMgwCnQ"/>
    <m/>
    <m/>
    <m/>
    <m/>
    <m/>
    <m/>
    <m/>
    <m/>
    <s v="No"/>
    <n v="25"/>
    <m/>
    <m/>
    <s v="Replied Comment"/>
    <s v="Reply"/>
    <s v="@Yagel Hen 10xxx , I found the problem , i copy only part of the token (double click and there is a spae :-(()"/>
    <s v="UC4whMI1SFiEZvJZiKMgwCnQ"/>
    <s v="Nir Robinson"/>
    <s v="http://www.youtube.com/channel/UC4whMI1SFiEZvJZiKMgwCnQ"/>
    <s v="Ugw9xuGB1F0sGkgM4xt4AaABAg"/>
    <s v="cTqFNg_y9lw"/>
    <s v="https://www.youtube.com/watch?v=cTqFNg_y9lw"/>
    <s v="none"/>
    <n v="0"/>
    <x v="22"/>
    <d v="2020-06-18T11:35:54.000"/>
    <m/>
    <m/>
    <m/>
    <n v="1"/>
    <s v="5"/>
    <s v="5"/>
    <m/>
    <m/>
    <m/>
    <m/>
    <m/>
    <m/>
    <m/>
    <m/>
    <m/>
  </r>
  <r>
    <s v="UC4whMI1SFiEZvJZiKMgwCnQ"/>
    <s v="UC-h-wArcxJC8zBOD-UxfCOg"/>
    <m/>
    <m/>
    <m/>
    <m/>
    <m/>
    <m/>
    <m/>
    <m/>
    <s v="No"/>
    <n v="26"/>
    <m/>
    <m/>
    <s v="Commented Video"/>
    <s v="Comment"/>
    <s v="Hi, Thanks for great series.&lt;br /&gt;I encounter an error &lt;br /&gt;&lt;br /&gt;&amp;quot;Details: &amp;quot;Access to the resource is forbidden.&amp;quot;&amp;quot;&lt;br /&gt;&lt;br /&gt;even though I succeed to query on the web (same as your video).&lt;br /&gt;The credential I choose is anonymous - is that OK? ( I tried the other credential but got error MSG also)"/>
    <s v="UC4whMI1SFiEZvJZiKMgwCnQ"/>
    <s v="Nir Robinson"/>
    <s v="http://www.youtube.com/channel/UC4whMI1SFiEZvJZiKMgwCnQ"/>
    <m/>
    <s v="cTqFNg_y9lw"/>
    <s v="https://www.youtube.com/watch?v=cTqFNg_y9lw"/>
    <s v="none"/>
    <n v="0"/>
    <x v="23"/>
    <d v="2020-06-17T08:23:37.000"/>
    <m/>
    <m/>
    <m/>
    <n v="1"/>
    <s v="5"/>
    <s v="5"/>
    <m/>
    <m/>
    <m/>
    <m/>
    <m/>
    <m/>
    <m/>
    <m/>
    <m/>
  </r>
  <r>
    <s v="UC-h-wArcxJC8zBOD-UxfCOg"/>
    <s v="UCQGkbd6oU8-AFpzS46ms-pw"/>
    <m/>
    <m/>
    <m/>
    <m/>
    <m/>
    <m/>
    <m/>
    <m/>
    <s v="Yes"/>
    <n v="27"/>
    <m/>
    <m/>
    <s v="Replied Comment"/>
    <s v="Reply"/>
    <s v="Coming up in part 2 😊"/>
    <s v="UC-h-wArcxJC8zBOD-UxfCOg"/>
    <s v="BI Elite"/>
    <s v="http://www.youtube.com/channel/UC-h-wArcxJC8zBOD-UxfCOg"/>
    <s v="Ugz4G970jUO4rIbKaO14AaABAg"/>
    <s v="cTqFNg_y9lw"/>
    <s v="https://www.youtube.com/watch?v=cTqFNg_y9lw"/>
    <s v="none"/>
    <n v="0"/>
    <x v="24"/>
    <d v="2020-06-17T05:40:19.000"/>
    <m/>
    <m/>
    <m/>
    <n v="1"/>
    <s v="5"/>
    <s v="5"/>
    <m/>
    <m/>
    <m/>
    <m/>
    <m/>
    <m/>
    <m/>
    <m/>
    <m/>
  </r>
  <r>
    <s v="UCQGkbd6oU8-AFpzS46ms-pw"/>
    <s v="UC-h-wArcxJC8zBOD-UxfCOg"/>
    <m/>
    <m/>
    <m/>
    <m/>
    <m/>
    <m/>
    <m/>
    <m/>
    <s v="Yes"/>
    <n v="28"/>
    <m/>
    <m/>
    <s v="Commented Video"/>
    <s v="Comment"/>
    <s v="Great stuff. How to publish to the service and schedule refresh? Thanks!"/>
    <s v="UCQGkbd6oU8-AFpzS46ms-pw"/>
    <s v="Federico De Filippi"/>
    <s v="http://www.youtube.com/channel/UCQGkbd6oU8-AFpzS46ms-pw"/>
    <m/>
    <s v="cTqFNg_y9lw"/>
    <s v="https://www.youtube.com/watch?v=cTqFNg_y9lw"/>
    <s v="none"/>
    <n v="2"/>
    <x v="25"/>
    <d v="2020-06-17T04:20:31.000"/>
    <m/>
    <m/>
    <m/>
    <n v="1"/>
    <s v="5"/>
    <s v="5"/>
    <m/>
    <m/>
    <m/>
    <m/>
    <m/>
    <m/>
    <m/>
    <m/>
    <m/>
  </r>
  <r>
    <s v="UCQGkbd6oU8-AFpzS46ms-pw"/>
    <s v="UCcX7XxMECeuapEGi_q0Wzng"/>
    <m/>
    <m/>
    <m/>
    <m/>
    <m/>
    <m/>
    <m/>
    <m/>
    <s v="No"/>
    <n v="29"/>
    <m/>
    <m/>
    <s v="Replied Comment"/>
    <s v="Reply"/>
    <s v="same happened to me! were you able to solve it? Thanks"/>
    <s v="UCQGkbd6oU8-AFpzS46ms-pw"/>
    <s v="Federico De Filippi"/>
    <s v="http://www.youtube.com/channel/UCQGkbd6oU8-AFpzS46ms-pw"/>
    <s v="Ugy_BL91q_J7olS4kBB4AaABAg"/>
    <s v="cTqFNg_y9lw"/>
    <s v="https://www.youtube.com/watch?v=cTqFNg_y9lw"/>
    <s v="none"/>
    <n v="0"/>
    <x v="26"/>
    <d v="2020-06-19T20:31:33.000"/>
    <m/>
    <m/>
    <m/>
    <n v="2"/>
    <s v="5"/>
    <s v="5"/>
    <m/>
    <m/>
    <m/>
    <m/>
    <m/>
    <m/>
    <m/>
    <m/>
    <m/>
  </r>
  <r>
    <s v="UCQGkbd6oU8-AFpzS46ms-pw"/>
    <s v="UCcX7XxMECeuapEGi_q0Wzng"/>
    <m/>
    <m/>
    <m/>
    <m/>
    <m/>
    <m/>
    <m/>
    <m/>
    <s v="No"/>
    <n v="30"/>
    <m/>
    <m/>
    <s v="Replied Comment"/>
    <s v="Reply"/>
    <s v="found it. You need to edit Data Source properties and set Anonymously in credentials."/>
    <s v="UCQGkbd6oU8-AFpzS46ms-pw"/>
    <s v="Federico De Filippi"/>
    <s v="http://www.youtube.com/channel/UCQGkbd6oU8-AFpzS46ms-pw"/>
    <s v="Ugy_BL91q_J7olS4kBB4AaABAg"/>
    <s v="cTqFNg_y9lw"/>
    <s v="https://www.youtube.com/watch?v=cTqFNg_y9lw"/>
    <s v="none"/>
    <n v="0"/>
    <x v="27"/>
    <d v="2020-06-20T23:27:56.000"/>
    <m/>
    <m/>
    <m/>
    <n v="2"/>
    <s v="5"/>
    <s v="5"/>
    <m/>
    <m/>
    <m/>
    <m/>
    <m/>
    <m/>
    <m/>
    <m/>
    <m/>
  </r>
  <r>
    <s v="UCcX7XxMECeuapEGi_q0Wzng"/>
    <s v="UC-h-wArcxJC8zBOD-UxfCOg"/>
    <m/>
    <m/>
    <m/>
    <m/>
    <m/>
    <m/>
    <m/>
    <m/>
    <s v="No"/>
    <n v="31"/>
    <m/>
    <m/>
    <s v="Commented Video"/>
    <s v="Comment"/>
    <s v="Any idea why I get the &amp;quot;The Authorization header is only supported when connecting anonymously&amp;quot; error? I got the bearer token from the Rest API&amp;#39;s site where I did get a response."/>
    <s v="UCcX7XxMECeuapEGi_q0Wzng"/>
    <s v="Nicky van Vroenhoven"/>
    <s v="http://www.youtube.com/channel/UCcX7XxMECeuapEGi_q0Wzng"/>
    <m/>
    <s v="cTqFNg_y9lw"/>
    <s v="https://www.youtube.com/watch?v=cTqFNg_y9lw"/>
    <s v="none"/>
    <n v="0"/>
    <x v="28"/>
    <d v="2020-06-17T21:00:51.000"/>
    <m/>
    <m/>
    <m/>
    <n v="1"/>
    <s v="5"/>
    <s v="5"/>
    <m/>
    <m/>
    <m/>
    <m/>
    <m/>
    <m/>
    <m/>
    <m/>
    <m/>
  </r>
  <r>
    <s v="UCFp1vaKzpfvoGai0vE5VJ0w"/>
    <s v="UCUNTlJDKLzxxGo0tmKLbdOQ"/>
    <m/>
    <m/>
    <m/>
    <m/>
    <m/>
    <m/>
    <m/>
    <m/>
    <s v="Yes"/>
    <n v="32"/>
    <m/>
    <m/>
    <s v="Replied Comment"/>
    <s v="Reply"/>
    <s v="Agreed! So many people don&amp;#39;t have something like this though. :("/>
    <s v="UCFp1vaKzpfvoGai0vE5VJ0w"/>
    <s v="Guy in a Cube"/>
    <s v="http://www.youtube.com/channel/UCFp1vaKzpfvoGai0vE5VJ0w"/>
    <s v="UgwbWsx7l31OdaBp_zZ4AaABAg"/>
    <s v="oN6mOmEruOQ"/>
    <s v="https://www.youtube.com/watch?v=oN6mOmEruOQ"/>
    <s v="none"/>
    <n v="0"/>
    <x v="29"/>
    <d v="2020-06-18T14:41:14.000"/>
    <m/>
    <m/>
    <m/>
    <n v="1"/>
    <s v="2"/>
    <s v="2"/>
    <m/>
    <m/>
    <m/>
    <m/>
    <m/>
    <m/>
    <m/>
    <m/>
    <m/>
  </r>
  <r>
    <s v="UCUNTlJDKLzxxGo0tmKLbdOQ"/>
    <s v="UCUNTlJDKLzxxGo0tmKLbdOQ"/>
    <m/>
    <m/>
    <m/>
    <m/>
    <m/>
    <m/>
    <m/>
    <m/>
    <s v="No"/>
    <n v="33"/>
    <m/>
    <m/>
    <s v="Replied Comment"/>
    <s v="Reply"/>
    <s v="@Guy in a Cube Say it ain&amp;#39;t So!!!"/>
    <s v="UCUNTlJDKLzxxGo0tmKLbdOQ"/>
    <s v="Chris Wagner"/>
    <s v="http://www.youtube.com/channel/UCUNTlJDKLzxxGo0tmKLbdOQ"/>
    <s v="UgwbWsx7l31OdaBp_zZ4AaABAg"/>
    <s v="oN6mOmEruOQ"/>
    <s v="https://www.youtube.com/watch?v=oN6mOmEruOQ"/>
    <s v="none"/>
    <n v="0"/>
    <x v="30"/>
    <d v="2020-06-18T14:44:13.000"/>
    <m/>
    <m/>
    <m/>
    <n v="1"/>
    <s v="2"/>
    <s v="2"/>
    <m/>
    <m/>
    <m/>
    <m/>
    <m/>
    <m/>
    <m/>
    <m/>
    <m/>
  </r>
  <r>
    <s v="UCUNTlJDKLzxxGo0tmKLbdOQ"/>
    <s v="UCFp1vaKzpfvoGai0vE5VJ0w"/>
    <m/>
    <m/>
    <m/>
    <m/>
    <m/>
    <m/>
    <m/>
    <m/>
    <s v="Yes"/>
    <n v="34"/>
    <m/>
    <m/>
    <s v="Commented Video"/>
    <s v="Comment"/>
    <s v="Love this! Truly a best practice."/>
    <s v="UCUNTlJDKLzxxGo0tmKLbdOQ"/>
    <s v="Chris Wagner"/>
    <s v="http://www.youtube.com/channel/UCUNTlJDKLzxxGo0tmKLbdOQ"/>
    <m/>
    <s v="oN6mOmEruOQ"/>
    <s v="https://www.youtube.com/watch?v=oN6mOmEruOQ"/>
    <s v="none"/>
    <n v="3"/>
    <x v="31"/>
    <d v="2020-06-16T17:05:49.000"/>
    <m/>
    <m/>
    <m/>
    <n v="1"/>
    <s v="2"/>
    <s v="2"/>
    <m/>
    <m/>
    <m/>
    <m/>
    <m/>
    <m/>
    <m/>
    <m/>
    <m/>
  </r>
  <r>
    <s v="UCZY2pH0KI4TPqqx6gzMebOA"/>
    <s v="UCHHneJvHkxIctOJ6Ok-umxA"/>
    <m/>
    <m/>
    <m/>
    <m/>
    <m/>
    <m/>
    <m/>
    <m/>
    <s v="No"/>
    <n v="35"/>
    <m/>
    <m/>
    <s v="Replied Comment"/>
    <s v="Reply"/>
    <s v="My organization just asked me this exact question. If the report runs long...what is the ACTUAL time that shows?"/>
    <s v="UCZY2pH0KI4TPqqx6gzMebOA"/>
    <s v="Nate Brunner"/>
    <s v="http://www.youtube.com/channel/UCZY2pH0KI4TPqqx6gzMebOA"/>
    <s v="Ugz3YzHMIvxhdg7rsQN4AaABAg"/>
    <s v="oN6mOmEruOQ"/>
    <s v="https://www.youtube.com/watch?v=oN6mOmEruOQ"/>
    <s v="none"/>
    <n v="0"/>
    <x v="32"/>
    <d v="2020-06-16T18:02:58.000"/>
    <m/>
    <m/>
    <m/>
    <n v="1"/>
    <s v="12"/>
    <s v="12"/>
    <m/>
    <m/>
    <m/>
    <m/>
    <m/>
    <m/>
    <m/>
    <m/>
    <m/>
  </r>
  <r>
    <s v="UCyFw7GgDJILLOxaRSxQ3Evw"/>
    <s v="UCHHneJvHkxIctOJ6Ok-umxA"/>
    <m/>
    <m/>
    <m/>
    <m/>
    <m/>
    <m/>
    <m/>
    <m/>
    <s v="No"/>
    <n v="36"/>
    <m/>
    <m/>
    <s v="Replied Comment"/>
    <s v="Reply"/>
    <s v="Depending on how exact users want to see the last refresh date/time, maybe it&amp;#39;s worth finding the average time of a refresh and then add that time average to the current date/time M language function. Just a thought and may not work but it&amp;#39;s an option."/>
    <s v="UCyFw7GgDJILLOxaRSxQ3Evw"/>
    <s v="Stephen Engineer"/>
    <s v="http://www.youtube.com/channel/UCyFw7GgDJILLOxaRSxQ3Evw"/>
    <s v="Ugz3YzHMIvxhdg7rsQN4AaABAg"/>
    <s v="oN6mOmEruOQ"/>
    <s v="https://www.youtube.com/watch?v=oN6mOmEruOQ"/>
    <s v="none"/>
    <n v="0"/>
    <x v="33"/>
    <d v="2020-06-17T02:25:25.000"/>
    <m/>
    <m/>
    <m/>
    <n v="1"/>
    <s v="12"/>
    <s v="12"/>
    <m/>
    <m/>
    <m/>
    <m/>
    <m/>
    <m/>
    <m/>
    <m/>
    <m/>
  </r>
  <r>
    <s v="UC4Cp2U9nRaj2f60M-Dn1q2w"/>
    <s v="UCHHneJvHkxIctOJ6Ok-umxA"/>
    <m/>
    <m/>
    <m/>
    <m/>
    <m/>
    <m/>
    <m/>
    <m/>
    <s v="No"/>
    <n v="37"/>
    <m/>
    <m/>
    <s v="Replied Comment"/>
    <s v="Reply"/>
    <s v="Maybe you can make the time query depend on your slow query."/>
    <s v="UC4Cp2U9nRaj2f60M-Dn1q2w"/>
    <s v="Sébastien Derivaux"/>
    <s v="http://www.youtube.com/channel/UC4Cp2U9nRaj2f60M-Dn1q2w"/>
    <s v="Ugz3YzHMIvxhdg7rsQN4AaABAg"/>
    <s v="oN6mOmEruOQ"/>
    <s v="https://www.youtube.com/watch?v=oN6mOmEruOQ"/>
    <s v="none"/>
    <n v="0"/>
    <x v="34"/>
    <d v="2020-06-17T10:27:10.000"/>
    <m/>
    <m/>
    <m/>
    <n v="1"/>
    <s v="12"/>
    <s v="12"/>
    <m/>
    <m/>
    <m/>
    <m/>
    <m/>
    <m/>
    <m/>
    <m/>
    <m/>
  </r>
  <r>
    <s v="UCrbjWUC-Mdeh7_0n7pDurWg"/>
    <s v="UCa42o_SknwSL5LuQ1lnMwcw"/>
    <m/>
    <m/>
    <m/>
    <m/>
    <m/>
    <m/>
    <m/>
    <m/>
    <s v="No"/>
    <n v="38"/>
    <m/>
    <m/>
    <s v="Replied Comment"/>
    <s v="Reply"/>
    <s v="Presuming that you are looking for IST. Adding 5 n half hours to date.localnow()  should do the job if you are not worried much about the time displayed in PBI desktop.&lt;br /&gt;But I believe a better approach should exist"/>
    <s v="UCrbjWUC-Mdeh7_0n7pDurWg"/>
    <s v="Aditya K"/>
    <s v="http://www.youtube.com/channel/UCrbjWUC-Mdeh7_0n7pDurWg"/>
    <s v="UgwCVbp9SlMGU_dIjmZ4AaABAg"/>
    <s v="oN6mOmEruOQ"/>
    <s v="https://www.youtube.com/watch?v="/>
    <s v="none"/>
    <n v="2"/>
    <x v="35"/>
    <d v="2020-06-16T19:55:35.000"/>
    <m/>
    <m/>
    <m/>
    <n v="1"/>
    <s v="11"/>
    <s v="11"/>
    <m/>
    <m/>
    <m/>
    <m/>
    <m/>
    <m/>
    <m/>
    <m/>
    <m/>
  </r>
  <r>
    <s v="UCYd47UFQE9MItXf23YcYV6w"/>
    <s v="UCa42o_SknwSL5LuQ1lnMwcw"/>
    <m/>
    <m/>
    <m/>
    <m/>
    <m/>
    <m/>
    <m/>
    <m/>
    <s v="No"/>
    <n v="39"/>
    <m/>
    <m/>
    <s v="Replied Comment"/>
    <s v="Reply"/>
    <s v="Our company has locations all over the US so I just report everything in EST and instead of using Adam&amp;#39;s approach, I just create a datasource that queries the GETDATE() of our SQL server and return that in our model . Not sure of your datasource but that might help you or others."/>
    <s v="UCYd47UFQE9MItXf23YcYV6w"/>
    <s v="Zig Baird"/>
    <s v="http://www.youtube.com/channel/UCYd47UFQE9MItXf23YcYV6w"/>
    <s v="UgwCVbp9SlMGU_dIjmZ4AaABAg"/>
    <s v="oN6mOmEruOQ"/>
    <s v="https://www.youtube.com/watch?v="/>
    <s v="none"/>
    <n v="2"/>
    <x v="36"/>
    <d v="2020-06-17T05:35:41.000"/>
    <m/>
    <m/>
    <m/>
    <n v="1"/>
    <s v="11"/>
    <s v="11"/>
    <m/>
    <m/>
    <m/>
    <m/>
    <m/>
    <m/>
    <m/>
    <m/>
    <m/>
  </r>
  <r>
    <s v="UCwtsbXpgdKO6QPdXlYkkPmQ"/>
    <s v="UCa42o_SknwSL5LuQ1lnMwcw"/>
    <m/>
    <m/>
    <m/>
    <m/>
    <m/>
    <m/>
    <m/>
    <m/>
    <s v="No"/>
    <n v="40"/>
    <m/>
    <m/>
    <s v="Replied Comment"/>
    <s v="Reply"/>
    <s v="@shiva kumar we keep the dates of DS in a table and do a lookup so we know whether to use 4 or 5 hours as the offset to EST."/>
    <s v="UCwtsbXpgdKO6QPdXlYkkPmQ"/>
    <s v="Adolfo Socorro"/>
    <s v="http://www.youtube.com/channel/UCwtsbXpgdKO6QPdXlYkkPmQ"/>
    <s v="UgwCVbp9SlMGU_dIjmZ4AaABAg"/>
    <s v="oN6mOmEruOQ"/>
    <s v="https://www.youtube.com/watch?v="/>
    <s v="none"/>
    <n v="0"/>
    <x v="37"/>
    <d v="2020-06-20T15:21:17.000"/>
    <m/>
    <m/>
    <m/>
    <n v="1"/>
    <s v="11"/>
    <s v="11"/>
    <m/>
    <m/>
    <m/>
    <m/>
    <m/>
    <m/>
    <m/>
    <m/>
    <m/>
  </r>
  <r>
    <s v="UC3qA8S5n70Al1RdjujIaWrQ"/>
    <s v="UCa42o_SknwSL5LuQ1lnMwcw"/>
    <m/>
    <m/>
    <m/>
    <m/>
    <m/>
    <m/>
    <m/>
    <m/>
    <s v="No"/>
    <n v="41"/>
    <m/>
    <m/>
    <s v="Replied Comment"/>
    <s v="Reply"/>
    <s v="Hey Shiva, you can use the following code:&lt;br /&gt;Source = DateTimeZone.SwitchZone(DateTimeZone.UtcNow(),-3,0), where &amp;quot;-3&amp;quot; is the difference between your timezone and UTC timezone."/>
    <s v="UC3qA8S5n70Al1RdjujIaWrQ"/>
    <s v="João Luis Baldo Martins"/>
    <s v="http://www.youtube.com/channel/UC3qA8S5n70Al1RdjujIaWrQ"/>
    <s v="UgwCVbp9SlMGU_dIjmZ4AaABAg"/>
    <s v="oN6mOmEruOQ"/>
    <s v="https://www.youtube.com/watch?v="/>
    <s v="none"/>
    <n v="2"/>
    <x v="38"/>
    <d v="2020-06-17T12:36:52.000"/>
    <m/>
    <m/>
    <m/>
    <n v="2"/>
    <s v="11"/>
    <s v="11"/>
    <m/>
    <m/>
    <m/>
    <m/>
    <m/>
    <m/>
    <m/>
    <m/>
    <m/>
  </r>
  <r>
    <s v="UCa42o_SknwSL5LuQ1lnMwcw"/>
    <s v="UCa42o_SknwSL5LuQ1lnMwcw"/>
    <m/>
    <m/>
    <m/>
    <m/>
    <m/>
    <m/>
    <m/>
    <m/>
    <s v="No"/>
    <n v="42"/>
    <m/>
    <m/>
    <s v="Replied Comment"/>
    <s v="Reply"/>
    <s v="@João Luis Baldo Martins Thanks , but if my time zone follows Day Light Saving then this solution might not work."/>
    <s v="UCa42o_SknwSL5LuQ1lnMwcw"/>
    <s v="shiva kumar"/>
    <s v="http://www.youtube.com/channel/UCa42o_SknwSL5LuQ1lnMwcw"/>
    <s v="UgwCVbp9SlMGU_dIjmZ4AaABAg"/>
    <s v="oN6mOmEruOQ"/>
    <s v="https://www.youtube.com/watch?v="/>
    <s v="none"/>
    <n v="1"/>
    <x v="39"/>
    <d v="2020-06-17T19:33:01.000"/>
    <m/>
    <m/>
    <m/>
    <n v="3"/>
    <s v="11"/>
    <s v="11"/>
    <m/>
    <m/>
    <m/>
    <m/>
    <m/>
    <m/>
    <m/>
    <m/>
    <m/>
  </r>
  <r>
    <s v="UCa42o_SknwSL5LuQ1lnMwcw"/>
    <s v="UCa42o_SknwSL5LuQ1lnMwcw"/>
    <m/>
    <m/>
    <m/>
    <m/>
    <m/>
    <m/>
    <m/>
    <m/>
    <s v="No"/>
    <n v="43"/>
    <m/>
    <m/>
    <s v="Replied Comment"/>
    <s v="Reply"/>
    <s v="@Aditya K Thanks , but if my time zone follows Day Light Saving then this solution might not work."/>
    <s v="UCa42o_SknwSL5LuQ1lnMwcw"/>
    <s v="shiva kumar"/>
    <s v="http://www.youtube.com/channel/UCa42o_SknwSL5LuQ1lnMwcw"/>
    <s v="UgwCVbp9SlMGU_dIjmZ4AaABAg"/>
    <s v="oN6mOmEruOQ"/>
    <s v="https://www.youtube.com/watch?v="/>
    <s v="none"/>
    <n v="0"/>
    <x v="40"/>
    <d v="2020-06-17T19:33:37.000"/>
    <m/>
    <m/>
    <m/>
    <n v="3"/>
    <s v="11"/>
    <s v="11"/>
    <m/>
    <m/>
    <m/>
    <m/>
    <m/>
    <m/>
    <m/>
    <m/>
    <m/>
  </r>
  <r>
    <s v="UC3qA8S5n70Al1RdjujIaWrQ"/>
    <s v="UCa42o_SknwSL5LuQ1lnMwcw"/>
    <m/>
    <m/>
    <m/>
    <m/>
    <m/>
    <m/>
    <m/>
    <m/>
    <s v="No"/>
    <n v="44"/>
    <m/>
    <m/>
    <s v="Replied Comment"/>
    <s v="Reply"/>
    <s v="@shiva kumar Sorry Shiva, but what is a Day Light Saving ?"/>
    <s v="UC3qA8S5n70Al1RdjujIaWrQ"/>
    <s v="João Luis Baldo Martins"/>
    <s v="http://www.youtube.com/channel/UC3qA8S5n70Al1RdjujIaWrQ"/>
    <s v="UgwCVbp9SlMGU_dIjmZ4AaABAg"/>
    <s v="oN6mOmEruOQ"/>
    <s v="https://www.youtube.com/watch?v="/>
    <s v="none"/>
    <n v="0"/>
    <x v="41"/>
    <d v="2020-06-17T20:27:42.000"/>
    <m/>
    <m/>
    <m/>
    <n v="2"/>
    <s v="11"/>
    <s v="11"/>
    <m/>
    <m/>
    <m/>
    <m/>
    <m/>
    <m/>
    <m/>
    <m/>
    <m/>
  </r>
  <r>
    <s v="UCa42o_SknwSL5LuQ1lnMwcw"/>
    <s v="UCa42o_SknwSL5LuQ1lnMwcw"/>
    <m/>
    <m/>
    <m/>
    <m/>
    <m/>
    <m/>
    <m/>
    <m/>
    <s v="No"/>
    <n v="45"/>
    <m/>
    <m/>
    <s v="Replied Comment"/>
    <s v="Reply"/>
    <s v="@João Luis Baldo Martins Daylight Saving Time (DST) is the practice of setting the clocks forward one hour from standard time during the summer months, and back again in the fall, in order to make better use of natural daylight."/>
    <s v="UCa42o_SknwSL5LuQ1lnMwcw"/>
    <s v="shiva kumar"/>
    <s v="http://www.youtube.com/channel/UCa42o_SknwSL5LuQ1lnMwcw"/>
    <s v="UgwCVbp9SlMGU_dIjmZ4AaABAg"/>
    <s v="oN6mOmEruOQ"/>
    <s v="https://www.youtube.com/watch?v="/>
    <s v="none"/>
    <n v="0"/>
    <x v="42"/>
    <d v="2020-06-17T20:37:27.000"/>
    <m/>
    <m/>
    <m/>
    <n v="3"/>
    <s v="11"/>
    <s v="11"/>
    <m/>
    <m/>
    <m/>
    <m/>
    <m/>
    <m/>
    <m/>
    <m/>
    <m/>
  </r>
  <r>
    <s v="UCa42o_SknwSL5LuQ1lnMwcw"/>
    <s v="UCFp1vaKzpfvoGai0vE5VJ0w"/>
    <m/>
    <m/>
    <m/>
    <m/>
    <m/>
    <m/>
    <m/>
    <m/>
    <s v="No"/>
    <n v="46"/>
    <m/>
    <m/>
    <s v="Commented Video"/>
    <s v="Comment"/>
    <s v="If i publish this to the service, then i get the Datetime of the refresh in UTC time. How can i get the last datetime refresh of my time zone ?"/>
    <s v="UCa42o_SknwSL5LuQ1lnMwcw"/>
    <s v="shiva kumar"/>
    <s v="http://www.youtube.com/channel/UCa42o_SknwSL5LuQ1lnMwcw"/>
    <m/>
    <s v="oN6mOmEruOQ"/>
    <s v="https://www.youtube.com/watch?v=oN6mOmEruOQ"/>
    <s v="none"/>
    <n v="19"/>
    <x v="43"/>
    <d v="2020-06-18T08:08:47.000"/>
    <m/>
    <m/>
    <m/>
    <n v="1"/>
    <s v="11"/>
    <s v="2"/>
    <m/>
    <m/>
    <m/>
    <m/>
    <m/>
    <m/>
    <m/>
    <m/>
    <m/>
  </r>
  <r>
    <s v="UCyLKEV3oi9IM2azD6meg7mQ"/>
    <s v="UCs-QZxz2dXIwF1GKFu8mHyA"/>
    <m/>
    <m/>
    <m/>
    <m/>
    <m/>
    <m/>
    <m/>
    <m/>
    <s v="No"/>
    <n v="47"/>
    <m/>
    <m/>
    <s v="Replied Comment"/>
    <s v="Reply"/>
    <s v="&lt;a href=&quot;https://powerpivotpro.com/2019/01/dst-refresh-date-function-power-bi-service/&quot;&gt;https://powerpivotpro.com/2019/01/dst-refresh-date-function-power-bi-service/&lt;/a&gt;"/>
    <s v="UCyLKEV3oi9IM2azD6meg7mQ"/>
    <s v="Fred Kaffenberger"/>
    <s v="http://www.youtube.com/channel/UCyLKEV3oi9IM2azD6meg7mQ"/>
    <s v="UgxLgP2ALLbKb04wyTF4AaABAg"/>
    <s v="oN6mOmEruOQ"/>
    <s v="https://www.youtube.com/watch?v=oN6mOmEruOQ"/>
    <s v="none"/>
    <n v="0"/>
    <x v="44"/>
    <d v="2020-06-16T22:24:55.000"/>
    <s v=" https://powerpivotpro.com/2019/01/dst-refresh-date-function-power-bi-service/ https://powerpivotpro.com/2019/01/dst-refresh-date-function-power-bi-service/"/>
    <s v="powerpivotpro.com powerpivotpro.com"/>
    <m/>
    <n v="1"/>
    <s v="2"/>
    <s v="2"/>
    <m/>
    <m/>
    <m/>
    <m/>
    <m/>
    <m/>
    <m/>
    <m/>
    <m/>
  </r>
  <r>
    <s v="UCs-QZxz2dXIwF1GKFu8mHyA"/>
    <s v="UCFp1vaKzpfvoGai0vE5VJ0w"/>
    <m/>
    <m/>
    <m/>
    <m/>
    <m/>
    <m/>
    <m/>
    <m/>
    <s v="No"/>
    <n v="48"/>
    <m/>
    <m/>
    <s v="Commented Video"/>
    <s v="Comment"/>
    <s v="How to get EST Timestamp irrespective of the location the file is loaded"/>
    <s v="UCs-QZxz2dXIwF1GKFu8mHyA"/>
    <s v="medisetty rajesh"/>
    <s v="http://www.youtube.com/channel/UCs-QZxz2dXIwF1GKFu8mHyA"/>
    <m/>
    <s v="oN6mOmEruOQ"/>
    <s v="https://www.youtube.com/watch?v=oN6mOmEruOQ"/>
    <s v="none"/>
    <n v="0"/>
    <x v="45"/>
    <d v="2020-06-16T17:22:44.000"/>
    <m/>
    <m/>
    <m/>
    <n v="1"/>
    <s v="2"/>
    <s v="2"/>
    <m/>
    <m/>
    <m/>
    <m/>
    <m/>
    <m/>
    <m/>
    <m/>
    <m/>
  </r>
  <r>
    <s v="UCcg3o79-LIs_2j9gQkfv6rg"/>
    <s v="UCEvuS17b5fKcdU--RU0rCVg"/>
    <m/>
    <m/>
    <m/>
    <m/>
    <m/>
    <m/>
    <m/>
    <m/>
    <s v="No"/>
    <n v="49"/>
    <m/>
    <m/>
    <s v="Replied Comment"/>
    <s v="Reply"/>
    <s v="I have the same use case. The way I did it was to bring the last refresh date from your data source (SQL Server in my case) and store this information in your model, and use this instead of what has been shown here"/>
    <s v="UCcg3o79-LIs_2j9gQkfv6rg"/>
    <s v="Cyril Gagnaire"/>
    <s v="http://www.youtube.com/channel/UCcg3o79-LIs_2j9gQkfv6rg"/>
    <s v="UgzCLfOUf3TC2r1wQsF4AaABAg"/>
    <s v="oN6mOmEruOQ"/>
    <s v="https://www.youtube.com/watch?v=oN6mOmEruOQ"/>
    <s v="none"/>
    <n v="0"/>
    <x v="46"/>
    <d v="2020-06-17T02:48:56.000"/>
    <m/>
    <m/>
    <m/>
    <n v="1"/>
    <s v="2"/>
    <s v="2"/>
    <m/>
    <m/>
    <m/>
    <m/>
    <m/>
    <m/>
    <m/>
    <m/>
    <m/>
  </r>
  <r>
    <s v="UCEvuS17b5fKcdU--RU0rCVg"/>
    <s v="UCFp1vaKzpfvoGai0vE5VJ0w"/>
    <m/>
    <m/>
    <m/>
    <m/>
    <m/>
    <m/>
    <m/>
    <m/>
    <s v="No"/>
    <n v="50"/>
    <m/>
    <m/>
    <s v="Commented Video"/>
    <s v="Comment"/>
    <s v="Hello. In my organization the data from last day&amp;#39;s activities is uploaded and ready for analysis at around 10 AM the next day. However if I refresh my query at 4PM (from the power Bi service) nothing new will arrive however this table will say it&amp;#39;s updated at 4pm. Is there a trick to report on a refresh in which something actually changed in the data?"/>
    <s v="UCEvuS17b5fKcdU--RU0rCVg"/>
    <s v="Pieter Steenssens"/>
    <s v="http://www.youtube.com/channel/UCEvuS17b5fKcdU--RU0rCVg"/>
    <m/>
    <s v="oN6mOmEruOQ"/>
    <s v="https://www.youtube.com/watch?v=oN6mOmEruOQ"/>
    <s v="none"/>
    <n v="1"/>
    <x v="47"/>
    <d v="2020-06-16T17:25:15.000"/>
    <m/>
    <m/>
    <m/>
    <n v="1"/>
    <s v="2"/>
    <s v="2"/>
    <m/>
    <m/>
    <m/>
    <m/>
    <m/>
    <m/>
    <m/>
    <m/>
    <m/>
  </r>
  <r>
    <s v="UCdjtPZHcM0Kp42_sd9_2JOQ"/>
    <s v="UCiRgdeiNpVedoU-Qw7et5Pg"/>
    <m/>
    <m/>
    <m/>
    <m/>
    <m/>
    <m/>
    <m/>
    <m/>
    <s v="No"/>
    <n v="51"/>
    <m/>
    <m/>
    <s v="Replied Comment"/>
    <s v="Reply"/>
    <s v="But does this still work when there is a time change..."/>
    <s v="UCdjtPZHcM0Kp42_sd9_2JOQ"/>
    <s v="Aaron Moody"/>
    <s v="http://www.youtube.com/channel/UCdjtPZHcM0Kp42_sd9_2JOQ"/>
    <s v="UgyWrhkTkU4eeQLuZqJ4AaABAg"/>
    <s v="oN6mOmEruOQ"/>
    <s v="https://www.youtube.com/watch?v=oN6mOmEruOQ"/>
    <s v="none"/>
    <n v="0"/>
    <x v="48"/>
    <d v="2020-06-16T18:02:18.000"/>
    <m/>
    <m/>
    <m/>
    <n v="1"/>
    <s v="2"/>
    <s v="2"/>
    <m/>
    <m/>
    <m/>
    <m/>
    <m/>
    <m/>
    <m/>
    <m/>
    <m/>
  </r>
  <r>
    <s v="UCiRgdeiNpVedoU-Qw7et5Pg"/>
    <s v="UCiRgdeiNpVedoU-Qw7et5Pg"/>
    <m/>
    <m/>
    <m/>
    <m/>
    <m/>
    <m/>
    <m/>
    <m/>
    <s v="No"/>
    <n v="52"/>
    <m/>
    <m/>
    <s v="Replied Comment"/>
    <s v="Reply"/>
    <s v="@Aaron Moody Good question. I assume that MS will maintain DST for those zones that do change it. But I can&amp;#39;t attest to it. Will update you in November ;)"/>
    <s v="UCiRgdeiNpVedoU-Qw7et5Pg"/>
    <s v="L Capitan"/>
    <s v="http://www.youtube.com/channel/UCiRgdeiNpVedoU-Qw7et5Pg"/>
    <s v="UgyWrhkTkU4eeQLuZqJ4AaABAg"/>
    <s v="oN6mOmEruOQ"/>
    <s v="https://www.youtube.com/watch?v=oN6mOmEruOQ"/>
    <s v="none"/>
    <n v="0"/>
    <x v="49"/>
    <d v="2020-06-16T20:38:36.000"/>
    <m/>
    <m/>
    <m/>
    <n v="1"/>
    <s v="2"/>
    <s v="2"/>
    <m/>
    <m/>
    <m/>
    <m/>
    <m/>
    <m/>
    <m/>
    <m/>
    <m/>
  </r>
  <r>
    <s v="UCyLKEV3oi9IM2azD6meg7mQ"/>
    <s v="UCiRgdeiNpVedoU-Qw7et5Pg"/>
    <m/>
    <m/>
    <m/>
    <m/>
    <m/>
    <m/>
    <m/>
    <m/>
    <s v="No"/>
    <n v="53"/>
    <m/>
    <m/>
    <s v="Replied Comment"/>
    <s v="Reply"/>
    <s v="For DST, you need a conditional (UTC doesn&amp;#39;t have use DST). You can change the conditional based on time zone rules in your country/ time zone. &lt;br /&gt;&lt;a href=&quot;https://powerpivotpro.com/2019/01/dst-refresh-date-function-power-bi-service/&quot;&gt;https://powerpivotpro.com/2019/01/dst-refresh-date-function-power-bi-service/&lt;/a&gt;"/>
    <s v="UCyLKEV3oi9IM2azD6meg7mQ"/>
    <s v="Fred Kaffenberger"/>
    <s v="http://www.youtube.com/channel/UCyLKEV3oi9IM2azD6meg7mQ"/>
    <s v="UgyWrhkTkU4eeQLuZqJ4AaABAg"/>
    <s v="oN6mOmEruOQ"/>
    <s v="https://www.youtube.com/watch?v=oN6mOmEruOQ"/>
    <s v="none"/>
    <n v="0"/>
    <x v="50"/>
    <d v="2020-06-17T04:07:27.000"/>
    <s v=" https://powerpivotpro.com/2019/01/dst-refresh-date-function-power-bi-service/ https://powerpivotpro.com/2019/01/dst-refresh-date-function-power-bi-service/"/>
    <s v="powerpivotpro.com powerpivotpro.com"/>
    <m/>
    <n v="1"/>
    <s v="2"/>
    <s v="2"/>
    <m/>
    <m/>
    <m/>
    <m/>
    <m/>
    <m/>
    <m/>
    <m/>
    <m/>
  </r>
  <r>
    <s v="UCiRgdeiNpVedoU-Qw7et5Pg"/>
    <s v="UCFp1vaKzpfvoGai0vE5VJ0w"/>
    <m/>
    <m/>
    <m/>
    <m/>
    <m/>
    <m/>
    <m/>
    <m/>
    <s v="No"/>
    <n v="54"/>
    <m/>
    <m/>
    <s v="Commented Video"/>
    <s v="Comment"/>
    <s v="You guys clearly have never bothered with time zones did you? When you publish such report on Service, and refresh it there, it will show UTC time, because this is what Service uses. &lt;br /&gt;Here&amp;#39;s my way around (EST):&lt;br /&gt;    Source = DateTimeZone.SwitchZone(DateTimeZone.FixedUtcNow(), -4),&lt;br /&gt;    #&amp;quot;Converted to Table&amp;quot; = &lt;a href=&quot;http://www.youtube.com/results?search_query=%23table&quot;&gt;#table&lt;/a&gt;(1, {{Source}}),&lt;br /&gt;    #&amp;quot;Renamed Columns&amp;quot; = Table.RenameColumns(#&amp;quot;Converted to Table&amp;quot;,{{&amp;quot;Column1&amp;quot;, &amp;quot;LastRefreshDate&amp;quot;}}),&lt;br /&gt;    #&amp;quot;Added Custom&amp;quot; = Table.AddColumn(#&amp;quot;Renamed Columns&amp;quot;, &amp;quot;AsOf&amp;quot;, each &amp;quot;As of &amp;quot;&amp;amp;DateTimeZone.ToText([LastRefreshDate], &amp;quot;MM/dd/yyyy hh:mmtt&amp;quot;)),"/>
    <s v="UCiRgdeiNpVedoU-Qw7et5Pg"/>
    <s v="L Capitan"/>
    <s v="http://www.youtube.com/channel/UCiRgdeiNpVedoU-Qw7et5Pg"/>
    <m/>
    <s v="oN6mOmEruOQ"/>
    <s v="https://www.youtube.com/watch?v=oN6mOmEruOQ"/>
    <s v="none"/>
    <n v="5"/>
    <x v="51"/>
    <d v="2020-06-16T17:31:22.000"/>
    <s v=" http://www.youtube.com/results?search_query=%23table"/>
    <s v="youtube.com"/>
    <m/>
    <n v="1"/>
    <s v="2"/>
    <s v="2"/>
    <m/>
    <m/>
    <m/>
    <m/>
    <m/>
    <m/>
    <m/>
    <m/>
    <m/>
  </r>
  <r>
    <s v="UC6Fn4NtfP5xRI28vy9oe6Vg"/>
    <s v="UCJQvl3mfUj5ww9gaHvpcD4g"/>
    <m/>
    <m/>
    <m/>
    <m/>
    <m/>
    <m/>
    <m/>
    <m/>
    <s v="No"/>
    <n v="55"/>
    <m/>
    <m/>
    <s v="Replied Comment"/>
    <s v="Reply"/>
    <s v="I agree.  This function is not helpful when I publish the report.  Love to see how to add the time stamp to show local time (like EST or CST) in the Power BI Service.  This function only shows UTC."/>
    <s v="UC6Fn4NtfP5xRI28vy9oe6Vg"/>
    <s v="Brian Peters"/>
    <s v="http://www.youtube.com/channel/UC6Fn4NtfP5xRI28vy9oe6Vg"/>
    <s v="UgwXvCHKOUI7sOCmJkh4AaABAg"/>
    <s v="oN6mOmEruOQ"/>
    <s v="https://www.youtube.com/watch?v=oN6mOmEruOQ"/>
    <s v="none"/>
    <n v="2"/>
    <x v="52"/>
    <d v="2020-06-16T19:54:21.000"/>
    <m/>
    <m/>
    <m/>
    <n v="1"/>
    <s v="22"/>
    <s v="22"/>
    <m/>
    <m/>
    <m/>
    <m/>
    <m/>
    <m/>
    <m/>
    <m/>
    <m/>
  </r>
  <r>
    <s v="UCUa86G1xFqatt_yntIKsJ0A"/>
    <s v="UCJQvl3mfUj5ww9gaHvpcD4g"/>
    <m/>
    <m/>
    <m/>
    <m/>
    <m/>
    <m/>
    <m/>
    <m/>
    <s v="No"/>
    <n v="56"/>
    <m/>
    <m/>
    <s v="Replied Comment"/>
    <s v="Reply"/>
    <s v="I have that same problem now. Any ideas how to fix it?"/>
    <s v="UCUa86G1xFqatt_yntIKsJ0A"/>
    <s v="Judy Fernandez"/>
    <s v="http://www.youtube.com/channel/UCUa86G1xFqatt_yntIKsJ0A"/>
    <s v="UgwXvCHKOUI7sOCmJkh4AaABAg"/>
    <s v="oN6mOmEruOQ"/>
    <s v="https://www.youtube.com/watch?v=oN6mOmEruOQ"/>
    <s v="none"/>
    <n v="0"/>
    <x v="53"/>
    <d v="2020-06-18T15:37:48.000"/>
    <m/>
    <m/>
    <m/>
    <n v="1"/>
    <s v="22"/>
    <s v="22"/>
    <m/>
    <m/>
    <m/>
    <m/>
    <m/>
    <m/>
    <m/>
    <m/>
    <m/>
  </r>
  <r>
    <s v="UCJQvl3mfUj5ww9gaHvpcD4g"/>
    <s v="UCFp1vaKzpfvoGai0vE5VJ0w"/>
    <m/>
    <m/>
    <m/>
    <m/>
    <m/>
    <m/>
    <m/>
    <m/>
    <s v="No"/>
    <n v="57"/>
    <m/>
    <m/>
    <s v="Commented Video"/>
    <s v="Comment"/>
    <s v="Problem detected, you are using date.localnow() which will be the system local time and power bi service runs in UTC time! How to see  your local time (time zone) in power bi service not the server that host your pbix file ?"/>
    <s v="UCJQvl3mfUj5ww9gaHvpcD4g"/>
    <s v="MATIWOS GEBREMICHAEL"/>
    <s v="http://www.youtube.com/channel/UCJQvl3mfUj5ww9gaHvpcD4g"/>
    <m/>
    <s v="oN6mOmEruOQ"/>
    <s v="https://www.youtube.com/watch?v=oN6mOmEruOQ"/>
    <s v="none"/>
    <n v="4"/>
    <x v="54"/>
    <d v="2020-06-16T17:39:44.000"/>
    <m/>
    <m/>
    <m/>
    <n v="1"/>
    <s v="22"/>
    <s v="2"/>
    <m/>
    <m/>
    <m/>
    <m/>
    <m/>
    <m/>
    <m/>
    <m/>
    <m/>
  </r>
  <r>
    <s v="UCHHneJvHkxIctOJ6Ok-umxA"/>
    <s v="UCFp1vaKzpfvoGai0vE5VJ0w"/>
    <m/>
    <m/>
    <m/>
    <m/>
    <m/>
    <m/>
    <m/>
    <m/>
    <s v="No"/>
    <n v="58"/>
    <m/>
    <m/>
    <s v="Commented Video"/>
    <s v="Comment"/>
    <s v="If I start the refresh at &lt;a href=&quot;https://www.youtube.com/watch?v=oN6mOmEruOQ&amp;amp;t=10h00m00s&quot;&gt;10:00:00&lt;/a&gt; and the refresh ends at &lt;a href=&quot;https://www.youtube.com/watch?v=oN6mOmEruOQ&amp;amp;t=11h00m00s&quot;&gt;11:00:00&lt;/a&gt;, the table will have a close value to 10, right? Something like &lt;a href=&quot;https://www.youtube.com/watch?v=oN6mOmEruOQ&amp;amp;t=10h00m02s&quot;&gt;10:00:02&lt;/a&gt; or so. How could I achieve to get the end time, or something close to it?"/>
    <s v="UCHHneJvHkxIctOJ6Ok-umxA"/>
    <s v="Arklur"/>
    <s v="http://www.youtube.com/channel/UCHHneJvHkxIctOJ6Ok-umxA"/>
    <m/>
    <s v="oN6mOmEruOQ"/>
    <s v="https://www.youtube.com/watch?v=oN6mOmEruOQ"/>
    <s v="none"/>
    <n v="3"/>
    <x v="55"/>
    <d v="2020-06-16T17:13:00.000"/>
    <s v=" https://www.youtube.com/watch?v=oN6mOmEruOQ&amp;amp;t=10h00m00s https://www.youtube.com/watch?v=oN6mOmEruOQ&amp;amp;t=11h00m00s https://www.youtube.com/watch?v=oN6mOmEruOQ&amp;amp;t=10h00m02s"/>
    <s v="youtube.com youtube.com youtube.com"/>
    <m/>
    <n v="1"/>
    <s v="12"/>
    <s v="2"/>
    <m/>
    <m/>
    <m/>
    <m/>
    <m/>
    <m/>
    <m/>
    <m/>
    <m/>
  </r>
  <r>
    <s v="UCHHneJvHkxIctOJ6Ok-umxA"/>
    <s v="UCFE38u5CpsNQzDpJIk4bsiw"/>
    <m/>
    <m/>
    <m/>
    <m/>
    <m/>
    <m/>
    <m/>
    <m/>
    <s v="No"/>
    <n v="59"/>
    <m/>
    <m/>
    <s v="Replied Comment"/>
    <s v="Reply"/>
    <s v="@RamsesKZ If you know what you are doing (you know SQL, assuming an SQL datasource), it&amp;#39;s not a problem. It&amp;#39;s actually much better to write your own query instead of relying on query folding. The equivalent query you write will be much more readable compared to the generated one, you can more easily &amp;quot;debug&amp;quot; the data if something is off, etc. Then again, assuming you know SQL, if not, use PQ and do not write custom queries."/>
    <s v="UCHHneJvHkxIctOJ6Ok-umxA"/>
    <s v="Arklur"/>
    <s v="http://www.youtube.com/channel/UCHHneJvHkxIctOJ6Ok-umxA"/>
    <s v="Ugy5SpRWiqcONS1hiSl4AaABAg"/>
    <s v="oN6mOmEruOQ"/>
    <s v="https://www.youtube.com/watch?v=oN6mOmEruOQ"/>
    <s v="none"/>
    <n v="0"/>
    <x v="56"/>
    <d v="2020-06-16T19:27:54.000"/>
    <m/>
    <m/>
    <m/>
    <n v="1"/>
    <s v="12"/>
    <s v="12"/>
    <m/>
    <m/>
    <m/>
    <m/>
    <m/>
    <m/>
    <m/>
    <m/>
    <m/>
  </r>
  <r>
    <s v="UCS6uE8pxsb-UkLbn990_WiA"/>
    <s v="UCFE38u5CpsNQzDpJIk4bsiw"/>
    <m/>
    <m/>
    <m/>
    <m/>
    <m/>
    <m/>
    <m/>
    <m/>
    <s v="No"/>
    <n v="60"/>
    <m/>
    <m/>
    <s v="Replied Comment"/>
    <s v="Reply"/>
    <s v="AFAIK you better not use custom queries for your data sources, this will prevent Query Folding. Correct me if I&amp;#39;m wrong though."/>
    <s v="UCS6uE8pxsb-UkLbn990_WiA"/>
    <s v="RamsesKZ"/>
    <s v="http://www.youtube.com/channel/UCS6uE8pxsb-UkLbn990_WiA"/>
    <s v="Ugy5SpRWiqcONS1hiSl4AaABAg"/>
    <s v="oN6mOmEruOQ"/>
    <s v="https://www.youtube.com/watch?v=oN6mOmEruOQ"/>
    <s v="none"/>
    <n v="0"/>
    <x v="57"/>
    <d v="2020-06-16T19:01:38.000"/>
    <m/>
    <m/>
    <m/>
    <n v="2"/>
    <s v="12"/>
    <s v="12"/>
    <m/>
    <m/>
    <m/>
    <m/>
    <m/>
    <m/>
    <m/>
    <m/>
    <m/>
  </r>
  <r>
    <s v="UCS6uE8pxsb-UkLbn990_WiA"/>
    <s v="UCFE38u5CpsNQzDpJIk4bsiw"/>
    <m/>
    <m/>
    <m/>
    <m/>
    <m/>
    <m/>
    <m/>
    <m/>
    <s v="No"/>
    <n v="61"/>
    <m/>
    <m/>
    <s v="Replied Comment"/>
    <s v="Reply"/>
    <s v="@Arklur well, there is one more point to consider - you will not take advantage of incremental refresh operations which require query folding presence. Got it pros and cons..."/>
    <s v="UCS6uE8pxsb-UkLbn990_WiA"/>
    <s v="RamsesKZ"/>
    <s v="http://www.youtube.com/channel/UCS6uE8pxsb-UkLbn990_WiA"/>
    <s v="Ugy5SpRWiqcONS1hiSl4AaABAg"/>
    <s v="oN6mOmEruOQ"/>
    <s v="https://www.youtube.com/watch?v=oN6mOmEruOQ"/>
    <s v="none"/>
    <n v="0"/>
    <x v="58"/>
    <d v="2020-06-17T22:30:27.000"/>
    <m/>
    <m/>
    <m/>
    <n v="2"/>
    <s v="12"/>
    <s v="12"/>
    <m/>
    <m/>
    <m/>
    <m/>
    <m/>
    <m/>
    <m/>
    <m/>
    <m/>
  </r>
  <r>
    <s v="UCFE38u5CpsNQzDpJIk4bsiw"/>
    <s v="UCFE38u5CpsNQzDpJIk4bsiw"/>
    <m/>
    <m/>
    <m/>
    <m/>
    <m/>
    <m/>
    <m/>
    <m/>
    <s v="No"/>
    <n v="62"/>
    <m/>
    <m/>
    <s v="Replied Comment"/>
    <s v="Reply"/>
    <s v="Forgot to add: both methods will work wit DST (Daylight Saving Time) change automatically."/>
    <s v="UCFE38u5CpsNQzDpJIk4bsiw"/>
    <s v="Rafal Szczepaniak"/>
    <s v="http://www.youtube.com/channel/UCFE38u5CpsNQzDpJIk4bsiw"/>
    <s v="Ugy5SpRWiqcONS1hiSl4AaABAg"/>
    <s v="oN6mOmEruOQ"/>
    <s v="https://www.youtube.com/watch?v=oN6mOmEruOQ"/>
    <s v="none"/>
    <n v="0"/>
    <x v="59"/>
    <d v="2020-06-16T18:28:32.000"/>
    <m/>
    <m/>
    <m/>
    <n v="1"/>
    <s v="12"/>
    <s v="12"/>
    <m/>
    <m/>
    <m/>
    <m/>
    <m/>
    <m/>
    <m/>
    <m/>
    <m/>
  </r>
  <r>
    <s v="UCFE38u5CpsNQzDpJIk4bsiw"/>
    <s v="UCFp1vaKzpfvoGai0vE5VJ0w"/>
    <m/>
    <m/>
    <m/>
    <m/>
    <m/>
    <m/>
    <m/>
    <m/>
    <s v="No"/>
    <n v="63"/>
    <m/>
    <m/>
    <s v="Commented Video"/>
    <s v="Comment"/>
    <s v="OR&lt;br /&gt;if you have access to ms sql server version &amp;gt;= 2016&lt;br /&gt;use something like this (and choose your timezone of course as the parameter)&lt;br /&gt;SELECT (CAST(CAST(GETUTCDATE() AS DATETIMEOFFSET) AT TIME ZONE &amp;#39;Central European Standard Time&amp;#39; AS DATETIME)) AS CurrentDateTimeCEST&lt;br /&gt;Docs: &lt;br /&gt;&lt;a href=&quot;https://docs.microsoft.com/en-us/sql/t-sql/queries/at-time-zone-transact-sql?view=sql-server-ver15&quot;&gt;https://docs.microsoft.com/en-us/sql/t-sql/queries/at-time-zone-transact-sql?view=sql-server-ver15&lt;/a&gt;&lt;br /&gt;OR&lt;br /&gt;use this free REST API which can return nice json:&lt;br /&gt;&lt;a href=&quot;http://worldtimeapi.org/api/timezone/Europe/Warsaw&quot;&gt;http://worldtimeapi.org/api/timezone/Europe/Warsaw&lt;/a&gt;&lt;br /&gt;It will automatically find your time zone on homepage: &lt;a href=&quot;http://worldtimeapi.org/&quot;&gt;http://worldtimeapi.org/&lt;/a&gt; &lt;br /&gt;You can also choose from list &lt;a href=&quot;http://worldtimeapi.org/timezones&quot;&gt;http://worldtimeapi.org/timezones&lt;/a&gt;"/>
    <s v="UCFE38u5CpsNQzDpJIk4bsiw"/>
    <s v="Rafal Szczepaniak"/>
    <s v="http://www.youtube.com/channel/UCFE38u5CpsNQzDpJIk4bsiw"/>
    <m/>
    <s v="oN6mOmEruOQ"/>
    <s v="https://www.youtube.com/watch?v=oN6mOmEruOQ"/>
    <s v="none"/>
    <n v="0"/>
    <x v="60"/>
    <d v="2020-06-16T17:51:26.000"/>
    <s v=" https://docs.microsoft.com/en-us/sql/t-sql/queries/at-time-zone-transact-sql?view=sql-server-ver15 https://docs.microsoft.com/en-us/sql/t-sql/queries/at-time-zone-transact-sql?view=sql-server-ver15 http://worldtimeapi.org/api/timezone/Europe/Warsaw http://worldtimeapi.org/api/timezone/Europe/Warsaw http://worldtimeapi.org/ http://worldtimeapi.org/ http://worldtimeapi.org/timezones http://worldtimeapi.org/timezones"/>
    <s v="microsoft.com microsoft.com worldtimeapi.org worldtimeapi.org worldtimeapi.org worldtimeapi.org worldtimeapi.org worldtimeapi.org"/>
    <m/>
    <n v="1"/>
    <s v="12"/>
    <s v="2"/>
    <m/>
    <m/>
    <m/>
    <m/>
    <m/>
    <m/>
    <m/>
    <m/>
    <m/>
  </r>
  <r>
    <s v="UCigHiy9Y3NCgFcAfCBI5dzQ"/>
    <s v="UC_9gy3T5xc8eQi-PIWrZuEw"/>
    <m/>
    <m/>
    <m/>
    <m/>
    <m/>
    <m/>
    <m/>
    <m/>
    <s v="No"/>
    <n v="64"/>
    <m/>
    <m/>
    <s v="Replied Comment"/>
    <s v="Reply"/>
    <s v="Turn off the data label"/>
    <s v="UCigHiy9Y3NCgFcAfCBI5dzQ"/>
    <s v="Sandeep Reddy"/>
    <s v="http://www.youtube.com/channel/UCigHiy9Y3NCgFcAfCBI5dzQ"/>
    <s v="UgyNMoOpKk1DMz0e8UJ4AaABAg"/>
    <s v="oN6mOmEruOQ"/>
    <s v="https://www.youtube.com/watch?v=oN6mOmEruOQ"/>
    <s v="none"/>
    <n v="0"/>
    <x v="61"/>
    <d v="2020-06-16T18:50:40.000"/>
    <m/>
    <m/>
    <m/>
    <n v="1"/>
    <s v="2"/>
    <s v="2"/>
    <m/>
    <m/>
    <m/>
    <m/>
    <m/>
    <m/>
    <m/>
    <m/>
    <m/>
  </r>
  <r>
    <s v="UC_9gy3T5xc8eQi-PIWrZuEw"/>
    <s v="UCFp1vaKzpfvoGai0vE5VJ0w"/>
    <m/>
    <m/>
    <m/>
    <m/>
    <m/>
    <m/>
    <m/>
    <m/>
    <s v="No"/>
    <n v="65"/>
    <m/>
    <m/>
    <s v="Commented Video"/>
    <s v="Comment"/>
    <s v="Thanks for this!  How do I get the &amp;quot;First DateTime&amp;quot; not to show underneath the actual refresh time?"/>
    <s v="UC_9gy3T5xc8eQi-PIWrZuEw"/>
    <s v="MyMACChannel"/>
    <s v="http://www.youtube.com/channel/UC_9gy3T5xc8eQi-PIWrZuEw"/>
    <m/>
    <s v="oN6mOmEruOQ"/>
    <s v="https://www.youtube.com/watch?v=oN6mOmEruOQ"/>
    <s v="none"/>
    <n v="0"/>
    <x v="62"/>
    <d v="2020-06-16T18:20:40.000"/>
    <m/>
    <m/>
    <m/>
    <n v="1"/>
    <s v="2"/>
    <s v="2"/>
    <m/>
    <m/>
    <m/>
    <m/>
    <m/>
    <m/>
    <m/>
    <m/>
    <m/>
  </r>
  <r>
    <s v="UCyLKEV3oi9IM2azD6meg7mQ"/>
    <s v="UCS6RpqOI7ievekmwVnzyenw"/>
    <m/>
    <m/>
    <m/>
    <m/>
    <m/>
    <m/>
    <m/>
    <m/>
    <s v="No"/>
    <n v="66"/>
    <m/>
    <m/>
    <s v="Replied Comment"/>
    <s v="Reply"/>
    <s v="if you’re pulling your data from dataflows, the refresh date in the app only shows dataset refresh time."/>
    <s v="UCyLKEV3oi9IM2azD6meg7mQ"/>
    <s v="Fred Kaffenberger"/>
    <s v="http://www.youtube.com/channel/UCyLKEV3oi9IM2azD6meg7mQ"/>
    <s v="Ugykg7fk78Dll5egzrR4AaABAg"/>
    <s v="oN6mOmEruOQ"/>
    <s v="https://www.youtube.com/watch?v=oN6mOmEruOQ"/>
    <s v="none"/>
    <n v="0"/>
    <x v="63"/>
    <d v="2020-06-16T22:26:45.000"/>
    <m/>
    <m/>
    <m/>
    <n v="1"/>
    <s v="2"/>
    <s v="2"/>
    <m/>
    <m/>
    <m/>
    <m/>
    <m/>
    <m/>
    <m/>
    <m/>
    <m/>
  </r>
  <r>
    <s v="UC9DPBq43Lh9NxAr9PI2_vHQ"/>
    <s v="UCS6RpqOI7ievekmwVnzyenw"/>
    <m/>
    <m/>
    <m/>
    <m/>
    <m/>
    <m/>
    <m/>
    <m/>
    <s v="No"/>
    <n v="67"/>
    <m/>
    <m/>
    <s v="Replied Comment"/>
    <s v="Reply"/>
    <s v="@Fred Kaffenberger Also useful for ODC analyse in excel files, when using data from the service but not in the web.  Its nice to know how old the dataset is in excel;"/>
    <s v="UC9DPBq43Lh9NxAr9PI2_vHQ"/>
    <s v="wisid"/>
    <s v="http://www.youtube.com/channel/UC9DPBq43Lh9NxAr9PI2_vHQ"/>
    <s v="Ugykg7fk78Dll5egzrR4AaABAg"/>
    <s v="oN6mOmEruOQ"/>
    <s v="https://www.youtube.com/watch?v=oN6mOmEruOQ"/>
    <s v="none"/>
    <n v="0"/>
    <x v="64"/>
    <d v="2020-06-17T10:20:52.000"/>
    <m/>
    <m/>
    <m/>
    <n v="1"/>
    <s v="2"/>
    <s v="2"/>
    <m/>
    <m/>
    <m/>
    <m/>
    <m/>
    <m/>
    <m/>
    <m/>
    <m/>
  </r>
  <r>
    <s v="UCS6RpqOI7ievekmwVnzyenw"/>
    <s v="UCFp1vaKzpfvoGai0vE5VJ0w"/>
    <m/>
    <m/>
    <m/>
    <m/>
    <m/>
    <m/>
    <m/>
    <m/>
    <s v="No"/>
    <n v="68"/>
    <m/>
    <m/>
    <s v="Commented Video"/>
    <s v="Comment"/>
    <s v="In the Powe Bi service it shows the last refresh date on the top of the report. Why would you use this?"/>
    <s v="UCS6RpqOI7ievekmwVnzyenw"/>
    <s v="Jaime Molina"/>
    <s v="http://www.youtube.com/channel/UCS6RpqOI7ievekmwVnzyenw"/>
    <m/>
    <s v="oN6mOmEruOQ"/>
    <s v="https://www.youtube.com/watch?v=oN6mOmEruOQ"/>
    <s v="none"/>
    <n v="1"/>
    <x v="65"/>
    <d v="2020-06-16T19:08:25.000"/>
    <m/>
    <m/>
    <m/>
    <n v="1"/>
    <s v="2"/>
    <s v="2"/>
    <m/>
    <m/>
    <m/>
    <m/>
    <m/>
    <m/>
    <m/>
    <m/>
    <m/>
  </r>
  <r>
    <s v="UCFp1vaKzpfvoGai0vE5VJ0w"/>
    <s v="UCGOS8_DGX0dvUTeW79t4cdQ"/>
    <m/>
    <m/>
    <m/>
    <m/>
    <m/>
    <m/>
    <m/>
    <m/>
    <s v="Yes"/>
    <n v="69"/>
    <m/>
    <m/>
    <s v="Replied Comment"/>
    <s v="Reply"/>
    <s v="Agreed! 👊"/>
    <s v="UCFp1vaKzpfvoGai0vE5VJ0w"/>
    <s v="Guy in a Cube"/>
    <s v="http://www.youtube.com/channel/UCFp1vaKzpfvoGai0vE5VJ0w"/>
    <s v="Ugxx-bAzWVDWNLmOnAt4AaABAg"/>
    <s v="oN6mOmEruOQ"/>
    <s v="https://www.youtube.com/watch?v=oN6mOmEruOQ"/>
    <s v="none"/>
    <n v="0"/>
    <x v="66"/>
    <d v="2020-06-18T14:40:56.000"/>
    <m/>
    <m/>
    <m/>
    <n v="1"/>
    <s v="2"/>
    <s v="2"/>
    <m/>
    <m/>
    <m/>
    <m/>
    <m/>
    <m/>
    <m/>
    <m/>
    <m/>
  </r>
  <r>
    <s v="UCGOS8_DGX0dvUTeW79t4cdQ"/>
    <s v="UCFp1vaKzpfvoGai0vE5VJ0w"/>
    <m/>
    <m/>
    <m/>
    <m/>
    <m/>
    <m/>
    <m/>
    <m/>
    <s v="Yes"/>
    <n v="70"/>
    <m/>
    <m/>
    <s v="Commented Video"/>
    <s v="Comment"/>
    <s v="Easy-peasy, lemon-squeezy 🤓 simple, bit very useful!"/>
    <s v="UCGOS8_DGX0dvUTeW79t4cdQ"/>
    <s v="Kim"/>
    <s v="http://www.youtube.com/channel/UCGOS8_DGX0dvUTeW79t4cdQ"/>
    <m/>
    <s v="oN6mOmEruOQ"/>
    <s v="https://www.youtube.com/watch?v=oN6mOmEruOQ"/>
    <s v="none"/>
    <n v="1"/>
    <x v="67"/>
    <d v="2020-06-16T19:14:06.000"/>
    <m/>
    <m/>
    <m/>
    <n v="1"/>
    <s v="2"/>
    <s v="2"/>
    <m/>
    <m/>
    <m/>
    <m/>
    <m/>
    <m/>
    <m/>
    <m/>
    <m/>
  </r>
  <r>
    <s v="UCH28ti2JbgebtjJoLCda91g"/>
    <s v="UC_eBsljmqd2ATK8SrWCOXKw"/>
    <m/>
    <m/>
    <m/>
    <m/>
    <m/>
    <m/>
    <m/>
    <m/>
    <s v="No"/>
    <n v="71"/>
    <m/>
    <m/>
    <s v="Replied Comment"/>
    <s v="Reply"/>
    <s v="Also useful to compare the result of those two techniques (report vs max fact table) in a dax measure. This really helps diagnose which data source to go check"/>
    <s v="UCH28ti2JbgebtjJoLCda91g"/>
    <s v="Patrick Booth"/>
    <s v="http://www.youtube.com/channel/UCH28ti2JbgebtjJoLCda91g"/>
    <s v="UgzyCHycIzjX9XL4dHd4AaABAg"/>
    <s v="oN6mOmEruOQ"/>
    <s v="https://www.youtube.com/watch?v=oN6mOmEruOQ"/>
    <s v="none"/>
    <n v="0"/>
    <x v="68"/>
    <d v="2020-06-19T00:18:36.000"/>
    <m/>
    <m/>
    <m/>
    <n v="1"/>
    <s v="2"/>
    <s v="2"/>
    <m/>
    <m/>
    <m/>
    <m/>
    <m/>
    <m/>
    <m/>
    <m/>
    <m/>
  </r>
  <r>
    <s v="UCFp1vaKzpfvoGai0vE5VJ0w"/>
    <s v="UC_eBsljmqd2ATK8SrWCOXKw"/>
    <m/>
    <m/>
    <m/>
    <m/>
    <m/>
    <m/>
    <m/>
    <m/>
    <s v="Yes"/>
    <n v="72"/>
    <m/>
    <m/>
    <s v="Replied Comment"/>
    <s v="Reply"/>
    <s v="Great point Thomas! Definitely something to consider. 👊"/>
    <s v="UCFp1vaKzpfvoGai0vE5VJ0w"/>
    <s v="Guy in a Cube"/>
    <s v="http://www.youtube.com/channel/UCFp1vaKzpfvoGai0vE5VJ0w"/>
    <s v="UgzyCHycIzjX9XL4dHd4AaABAg"/>
    <s v="oN6mOmEruOQ"/>
    <s v="https://www.youtube.com/watch?v=oN6mOmEruOQ"/>
    <s v="none"/>
    <n v="2"/>
    <x v="69"/>
    <d v="2020-06-18T14:40:41.000"/>
    <m/>
    <m/>
    <m/>
    <n v="1"/>
    <s v="2"/>
    <s v="2"/>
    <m/>
    <m/>
    <m/>
    <m/>
    <m/>
    <m/>
    <m/>
    <m/>
    <m/>
  </r>
  <r>
    <s v="UC_eBsljmqd2ATK8SrWCOXKw"/>
    <s v="UCFp1vaKzpfvoGai0vE5VJ0w"/>
    <m/>
    <m/>
    <m/>
    <m/>
    <m/>
    <m/>
    <m/>
    <m/>
    <s v="Yes"/>
    <n v="73"/>
    <m/>
    <m/>
    <s v="Commented Video"/>
    <s v="Comment"/>
    <s v="If data in the data source is not refreshed due to ETL errors you will need to find the MAX date in the underlying fact table."/>
    <s v="UC_eBsljmqd2ATK8SrWCOXKw"/>
    <s v="Thomas Ivarsson"/>
    <s v="http://www.youtube.com/channel/UC_eBsljmqd2ATK8SrWCOXKw"/>
    <m/>
    <s v="oN6mOmEruOQ"/>
    <s v="https://www.youtube.com/watch?v=oN6mOmEruOQ"/>
    <s v="none"/>
    <n v="2"/>
    <x v="70"/>
    <d v="2020-06-16T19:22:23.000"/>
    <m/>
    <m/>
    <m/>
    <n v="1"/>
    <s v="2"/>
    <s v="2"/>
    <m/>
    <m/>
    <m/>
    <m/>
    <m/>
    <m/>
    <m/>
    <m/>
    <m/>
  </r>
  <r>
    <s v="UC3qA8S5n70Al1RdjujIaWrQ"/>
    <s v="UC0L2P2J4fT5s2-UPhWQIZsg"/>
    <m/>
    <m/>
    <m/>
    <m/>
    <m/>
    <m/>
    <m/>
    <m/>
    <s v="No"/>
    <n v="74"/>
    <m/>
    <m/>
    <s v="Replied Comment"/>
    <s v="Reply"/>
    <s v="Hey Nomad,&lt;br /&gt;&lt;br /&gt;You can use the following code:&lt;br /&gt;&lt;br /&gt;Source = DateTimeZone.SwitchZone(DateTimeZone.UtcNow(),-3,0), where &amp;quot;-3&amp;quot; is the difference between your timezone and UTC timezone."/>
    <s v="UC3qA8S5n70Al1RdjujIaWrQ"/>
    <s v="João Luis Baldo Martins"/>
    <s v="http://www.youtube.com/channel/UC3qA8S5n70Al1RdjujIaWrQ"/>
    <s v="Ugz_a13Orn9MpSAPDYh4AaABAg"/>
    <s v="oN6mOmEruOQ"/>
    <s v="https://www.youtube.com/watch?v=oN6mOmEruOQ"/>
    <s v="none"/>
    <n v="0"/>
    <x v="71"/>
    <d v="2020-06-17T12:37:46.000"/>
    <m/>
    <m/>
    <m/>
    <n v="1"/>
    <s v="11"/>
    <s v="11"/>
    <m/>
    <m/>
    <m/>
    <m/>
    <m/>
    <m/>
    <m/>
    <m/>
    <m/>
  </r>
  <r>
    <s v="UC0L2P2J4fT5s2-UPhWQIZsg"/>
    <s v="UCFp1vaKzpfvoGai0vE5VJ0w"/>
    <m/>
    <m/>
    <m/>
    <m/>
    <m/>
    <m/>
    <m/>
    <m/>
    <s v="No"/>
    <n v="75"/>
    <m/>
    <m/>
    <s v="Commented Video"/>
    <s v="Comment"/>
    <s v="Hi, how do you set the timezone? It&amp;#39;s UTC on PowerBI service"/>
    <s v="UC0L2P2J4fT5s2-UPhWQIZsg"/>
    <s v="The Nomad"/>
    <s v="http://www.youtube.com/channel/UC0L2P2J4fT5s2-UPhWQIZsg"/>
    <m/>
    <s v="oN6mOmEruOQ"/>
    <s v="https://www.youtube.com/watch?v=oN6mOmEruOQ"/>
    <s v="none"/>
    <n v="2"/>
    <x v="72"/>
    <d v="2020-06-16T19:39:55.000"/>
    <m/>
    <m/>
    <m/>
    <n v="1"/>
    <s v="11"/>
    <s v="2"/>
    <m/>
    <m/>
    <m/>
    <m/>
    <m/>
    <m/>
    <m/>
    <m/>
    <m/>
  </r>
  <r>
    <s v="UCFp1vaKzpfvoGai0vE5VJ0w"/>
    <s v="UCNPsQn3CSE8nBwTKt4qDdaw"/>
    <m/>
    <m/>
    <m/>
    <m/>
    <m/>
    <m/>
    <m/>
    <m/>
    <s v="Yes"/>
    <n v="76"/>
    <m/>
    <m/>
    <s v="Replied Comment"/>
    <s v="Reply"/>
    <s v="From Power BI Desktop you cannot. But, when you publish the dataset to the Power BI service, you can use Scheduled Refresh."/>
    <s v="UCFp1vaKzpfvoGai0vE5VJ0w"/>
    <s v="Guy in a Cube"/>
    <s v="http://www.youtube.com/channel/UCFp1vaKzpfvoGai0vE5VJ0w"/>
    <s v="Ugy8ciiQ0Jzt53pHnrZ4AaABAg"/>
    <s v="oN6mOmEruOQ"/>
    <s v="https://www.youtube.com/watch?v=oN6mOmEruOQ"/>
    <s v="none"/>
    <n v="0"/>
    <x v="73"/>
    <d v="2020-06-18T14:53:13.000"/>
    <m/>
    <m/>
    <m/>
    <n v="1"/>
    <s v="2"/>
    <s v="2"/>
    <m/>
    <m/>
    <m/>
    <m/>
    <m/>
    <m/>
    <m/>
    <m/>
    <m/>
  </r>
  <r>
    <s v="UCNPsQn3CSE8nBwTKt4qDdaw"/>
    <s v="UCFp1vaKzpfvoGai0vE5VJ0w"/>
    <m/>
    <m/>
    <m/>
    <m/>
    <m/>
    <m/>
    <m/>
    <m/>
    <s v="Yes"/>
    <n v="77"/>
    <m/>
    <m/>
    <s v="Commented Video"/>
    <s v="Comment"/>
    <s v="How can we automatically refresh data in Power BI Desktop?"/>
    <s v="UCNPsQn3CSE8nBwTKt4qDdaw"/>
    <s v="Omkar Saste"/>
    <s v="http://www.youtube.com/channel/UCNPsQn3CSE8nBwTKt4qDdaw"/>
    <m/>
    <s v="oN6mOmEruOQ"/>
    <s v="https://www.youtube.com/watch?v=oN6mOmEruOQ"/>
    <s v="none"/>
    <n v="0"/>
    <x v="74"/>
    <d v="2020-06-17T13:49:37.000"/>
    <m/>
    <m/>
    <m/>
    <n v="1"/>
    <s v="2"/>
    <s v="2"/>
    <m/>
    <m/>
    <m/>
    <m/>
    <m/>
    <m/>
    <m/>
    <m/>
    <m/>
  </r>
  <r>
    <s v="UCYuTigupd7XdxlWkFVKBx9w"/>
    <s v="UCYel16PKs3LGkCpXakqFq1w"/>
    <m/>
    <m/>
    <m/>
    <m/>
    <m/>
    <m/>
    <m/>
    <m/>
    <s v="No"/>
    <n v="78"/>
    <m/>
    <m/>
    <s v="Replied Comment"/>
    <s v="Reply"/>
    <s v="@Guy in a Cube The issue with that approach happens in the service when an end user hits the refresh button and the DAX calculates but the data isn&amp;#39;t actually refreshed. Power Query is the only way outside the metadata in the new app experience"/>
    <s v="UCYuTigupd7XdxlWkFVKBx9w"/>
    <s v="Scott Schuler"/>
    <s v="http://www.youtube.com/channel/UCYuTigupd7XdxlWkFVKBx9w"/>
    <s v="UgxqyOaUtPvUwG7Pd0B4AaABAg"/>
    <s v="oN6mOmEruOQ"/>
    <s v="https://www.youtube.com/watch?v=oN6mOmEruOQ"/>
    <s v="none"/>
    <n v="0"/>
    <x v="75"/>
    <d v="2020-06-18T19:36:42.000"/>
    <m/>
    <m/>
    <m/>
    <n v="1"/>
    <s v="2"/>
    <s v="2"/>
    <m/>
    <m/>
    <m/>
    <m/>
    <m/>
    <m/>
    <m/>
    <m/>
    <m/>
  </r>
  <r>
    <s v="UCFp1vaKzpfvoGai0vE5VJ0w"/>
    <s v="UCYel16PKs3LGkCpXakqFq1w"/>
    <m/>
    <m/>
    <m/>
    <m/>
    <m/>
    <m/>
    <m/>
    <m/>
    <s v="Yes"/>
    <n v="79"/>
    <m/>
    <m/>
    <s v="Replied Comment"/>
    <s v="Reply"/>
    <s v="That is another way to do it. I usually try and push things as far back as I can. But, assuming it is by itself, that may not have a lot of overhead from a calculated column perspective."/>
    <s v="UCFp1vaKzpfvoGai0vE5VJ0w"/>
    <s v="Guy in a Cube"/>
    <s v="http://www.youtube.com/channel/UCFp1vaKzpfvoGai0vE5VJ0w"/>
    <s v="UgxqyOaUtPvUwG7Pd0B4AaABAg"/>
    <s v="oN6mOmEruOQ"/>
    <s v="https://www.youtube.com/watch?v=oN6mOmEruOQ"/>
    <s v="none"/>
    <n v="0"/>
    <x v="76"/>
    <d v="2020-06-18T14:52:30.000"/>
    <m/>
    <m/>
    <m/>
    <n v="1"/>
    <s v="2"/>
    <s v="2"/>
    <m/>
    <m/>
    <m/>
    <m/>
    <m/>
    <m/>
    <m/>
    <m/>
    <m/>
  </r>
  <r>
    <s v="UCYel16PKs3LGkCpXakqFq1w"/>
    <s v="UCFp1vaKzpfvoGai0vE5VJ0w"/>
    <m/>
    <m/>
    <m/>
    <m/>
    <m/>
    <m/>
    <m/>
    <m/>
    <s v="Yes"/>
    <n v="80"/>
    <m/>
    <m/>
    <s v="Commented Video"/>
    <s v="Comment"/>
    <s v="Hi @guyinacube, I use a calculated col in my report just create a col and enter UTCNow()  function to get the date time in utc, now to show the time zone i just concatenate this function with &amp;quot; UTC&amp;quot; string and now they know when their data was last refreshed."/>
    <s v="UCYel16PKs3LGkCpXakqFq1w"/>
    <s v="shaurya mittal"/>
    <s v="http://www.youtube.com/channel/UCYel16PKs3LGkCpXakqFq1w"/>
    <m/>
    <s v="oN6mOmEruOQ"/>
    <s v="https://www.youtube.com/watch?v=oN6mOmEruOQ"/>
    <s v="none"/>
    <n v="1"/>
    <x v="77"/>
    <d v="2020-06-17T15:35:04.000"/>
    <m/>
    <m/>
    <m/>
    <n v="1"/>
    <s v="2"/>
    <s v="2"/>
    <m/>
    <m/>
    <m/>
    <m/>
    <m/>
    <m/>
    <m/>
    <m/>
    <m/>
  </r>
  <r>
    <s v="UCFp1vaKzpfvoGai0vE5VJ0w"/>
    <s v="UCYz5XRS6e7daa20C_qDCFRQ"/>
    <m/>
    <m/>
    <m/>
    <m/>
    <m/>
    <m/>
    <m/>
    <m/>
    <s v="Yes"/>
    <n v="81"/>
    <m/>
    <m/>
    <s v="Replied Comment"/>
    <s v="Reply"/>
    <s v="Yup, that is another great way to do it. Depends on what you want to see. When the model was actually last refreshed, regardless of the data inside, or the last current record you have within the data. Or, maybe both :)"/>
    <s v="UCFp1vaKzpfvoGai0vE5VJ0w"/>
    <s v="Guy in a Cube"/>
    <s v="http://www.youtube.com/channel/UCFp1vaKzpfvoGai0vE5VJ0w"/>
    <s v="UgwVLDY_7vQHxkuXyzl4AaABAg"/>
    <s v="oN6mOmEruOQ"/>
    <s v="https://www.youtube.com/watch?v=oN6mOmEruOQ"/>
    <s v="none"/>
    <n v="0"/>
    <x v="78"/>
    <d v="2020-06-18T14:51:08.000"/>
    <m/>
    <m/>
    <m/>
    <n v="1"/>
    <s v="2"/>
    <s v="2"/>
    <m/>
    <m/>
    <m/>
    <m/>
    <m/>
    <m/>
    <m/>
    <m/>
    <m/>
  </r>
  <r>
    <s v="UCYz5XRS6e7daa20C_qDCFRQ"/>
    <s v="UCFp1vaKzpfvoGai0vE5VJ0w"/>
    <m/>
    <m/>
    <m/>
    <m/>
    <m/>
    <m/>
    <m/>
    <m/>
    <s v="Yes"/>
    <n v="82"/>
    <m/>
    <m/>
    <s v="Commented Video"/>
    <s v="Comment"/>
    <s v="My approach (working with a database of sales data that refreshes overnight) is to instead report the last invoice date from my report.  But I will definitely keep this in mind for other applications."/>
    <s v="UCYz5XRS6e7daa20C_qDCFRQ"/>
    <s v="Heather R"/>
    <s v="http://www.youtube.com/channel/UCYz5XRS6e7daa20C_qDCFRQ"/>
    <m/>
    <s v="oN6mOmEruOQ"/>
    <s v="https://www.youtube.com/watch?v=oN6mOmEruOQ"/>
    <s v="none"/>
    <n v="2"/>
    <x v="79"/>
    <d v="2020-06-17T17:13:22.000"/>
    <m/>
    <m/>
    <m/>
    <n v="1"/>
    <s v="2"/>
    <s v="2"/>
    <m/>
    <m/>
    <m/>
    <m/>
    <m/>
    <m/>
    <m/>
    <m/>
    <m/>
  </r>
  <r>
    <s v="UCFp1vaKzpfvoGai0vE5VJ0w"/>
    <s v="UCClNIl6RGNgDd-Iq2M5yNWQ"/>
    <m/>
    <m/>
    <m/>
    <m/>
    <m/>
    <m/>
    <m/>
    <m/>
    <s v="Yes"/>
    <n v="83"/>
    <m/>
    <m/>
    <s v="Replied Comment"/>
    <s v="Reply"/>
    <s v="Appreciate that! 👊"/>
    <s v="UCFp1vaKzpfvoGai0vE5VJ0w"/>
    <s v="Guy in a Cube"/>
    <s v="http://www.youtube.com/channel/UCFp1vaKzpfvoGai0vE5VJ0w"/>
    <s v="Ugzzpt5apRZbGvb2J7d4AaABAg"/>
    <s v="oN6mOmEruOQ"/>
    <s v="https://www.youtube.com/watch?v=oN6mOmEruOQ"/>
    <s v="none"/>
    <n v="0"/>
    <x v="80"/>
    <d v="2020-06-18T14:48:58.000"/>
    <m/>
    <m/>
    <m/>
    <n v="1"/>
    <s v="2"/>
    <s v="2"/>
    <m/>
    <m/>
    <m/>
    <m/>
    <m/>
    <m/>
    <m/>
    <m/>
    <m/>
  </r>
  <r>
    <s v="UCClNIl6RGNgDd-Iq2M5yNWQ"/>
    <s v="UCFp1vaKzpfvoGai0vE5VJ0w"/>
    <m/>
    <m/>
    <m/>
    <m/>
    <m/>
    <m/>
    <m/>
    <m/>
    <s v="Yes"/>
    <n v="84"/>
    <m/>
    <m/>
    <s v="Commented Video"/>
    <s v="Comment"/>
    <s v="You guys are the best !!!"/>
    <s v="UCClNIl6RGNgDd-Iq2M5yNWQ"/>
    <s v="Sujit Thakur"/>
    <s v="http://www.youtube.com/channel/UCClNIl6RGNgDd-Iq2M5yNWQ"/>
    <m/>
    <s v="oN6mOmEruOQ"/>
    <s v="https://www.youtube.com/watch?v=oN6mOmEruOQ"/>
    <s v="none"/>
    <n v="1"/>
    <x v="81"/>
    <d v="2020-06-18T07:45:26.000"/>
    <m/>
    <m/>
    <m/>
    <n v="1"/>
    <s v="2"/>
    <s v="2"/>
    <m/>
    <m/>
    <m/>
    <m/>
    <m/>
    <m/>
    <m/>
    <m/>
    <m/>
  </r>
  <r>
    <s v="UCFp1vaKzpfvoGai0vE5VJ0w"/>
    <s v="UCgbwVKjs7REXm4t2I79THgw"/>
    <m/>
    <m/>
    <m/>
    <m/>
    <m/>
    <m/>
    <m/>
    <m/>
    <s v="Yes"/>
    <n v="85"/>
    <m/>
    <m/>
    <s v="Replied Comment"/>
    <s v="Reply"/>
    <s v="do you mean if you are live connected to an AS Tabular model? It would have to be something similar done within the model like what i showed for Power BI Desktop. Need to be a field you can use that has the info."/>
    <s v="UCFp1vaKzpfvoGai0vE5VJ0w"/>
    <s v="Guy in a Cube"/>
    <s v="http://www.youtube.com/channel/UCFp1vaKzpfvoGai0vE5VJ0w"/>
    <s v="UgwBHn3apPAaKMdH7Dh4AaABAg"/>
    <s v="oN6mOmEruOQ"/>
    <s v="https://www.youtube.com/watch?v=oN6mOmEruOQ"/>
    <s v="none"/>
    <n v="0"/>
    <x v="82"/>
    <d v="2020-06-18T14:48:44.000"/>
    <m/>
    <m/>
    <m/>
    <n v="1"/>
    <s v="2"/>
    <s v="2"/>
    <m/>
    <m/>
    <m/>
    <m/>
    <m/>
    <m/>
    <m/>
    <m/>
    <m/>
  </r>
  <r>
    <s v="UCgbwVKjs7REXm4t2I79THgw"/>
    <s v="UCgbwVKjs7REXm4t2I79THgw"/>
    <m/>
    <m/>
    <m/>
    <m/>
    <m/>
    <m/>
    <m/>
    <m/>
    <s v="No"/>
    <n v="86"/>
    <m/>
    <m/>
    <s v="Replied Comment"/>
    <s v="Reply"/>
    <s v="@Guy in a Cube Thank you for your reply,&lt;br /&gt;I have a multi dimension AS model, I have researched about displaying the Last Process date for spicific cube but I didn&amp;#39;t find any solution,&lt;br /&gt;I have added a field in a Fact Dimension with update query every time before process spicific cube to handle my scenario."/>
    <s v="UCgbwVKjs7REXm4t2I79THgw"/>
    <s v="Tareq Alkatout"/>
    <s v="http://www.youtube.com/channel/UCgbwVKjs7REXm4t2I79THgw"/>
    <s v="UgwBHn3apPAaKMdH7Dh4AaABAg"/>
    <s v="oN6mOmEruOQ"/>
    <s v="https://www.youtube.com/watch?v=oN6mOmEruOQ"/>
    <s v="none"/>
    <n v="0"/>
    <x v="83"/>
    <d v="2020-06-18T15:10:37.000"/>
    <m/>
    <m/>
    <m/>
    <n v="1"/>
    <s v="2"/>
    <s v="2"/>
    <m/>
    <m/>
    <m/>
    <m/>
    <m/>
    <m/>
    <m/>
    <m/>
    <m/>
  </r>
  <r>
    <s v="UCgbwVKjs7REXm4t2I79THgw"/>
    <s v="UCFp1vaKzpfvoGai0vE5VJ0w"/>
    <m/>
    <m/>
    <m/>
    <m/>
    <m/>
    <m/>
    <m/>
    <m/>
    <s v="Yes"/>
    <n v="87"/>
    <m/>
    <m/>
    <s v="Commented Video"/>
    <s v="Comment"/>
    <s v="There are any way to get last process date for Cube and display it in PowerBI?"/>
    <s v="UCgbwVKjs7REXm4t2I79THgw"/>
    <s v="Tareq Alkatout"/>
    <s v="http://www.youtube.com/channel/UCgbwVKjs7REXm4t2I79THgw"/>
    <m/>
    <s v="oN6mOmEruOQ"/>
    <s v="https://www.youtube.com/watch?v=oN6mOmEruOQ"/>
    <s v="none"/>
    <n v="1"/>
    <x v="84"/>
    <d v="2020-06-18T08:50:38.000"/>
    <m/>
    <m/>
    <m/>
    <n v="1"/>
    <s v="2"/>
    <s v="2"/>
    <m/>
    <m/>
    <m/>
    <m/>
    <m/>
    <m/>
    <m/>
    <m/>
    <m/>
  </r>
  <r>
    <s v="UCFp1vaKzpfvoGai0vE5VJ0w"/>
    <s v="UCs9Zw6uGqXK6z3gqHx5xbwA"/>
    <m/>
    <m/>
    <m/>
    <m/>
    <m/>
    <m/>
    <m/>
    <m/>
    <s v="Yes"/>
    <n v="88"/>
    <m/>
    <m/>
    <s v="Replied Comment"/>
    <s v="Reply"/>
    <s v="If you have a composite model, you will need to refresh. With DirectQuery, you aren&amp;#39;t refreshing. Queries are issued when you load the report so this concept doesn&amp;#39;t make a lot of sense for DirectQuery."/>
    <s v="UCFp1vaKzpfvoGai0vE5VJ0w"/>
    <s v="Guy in a Cube"/>
    <s v="http://www.youtube.com/channel/UCFp1vaKzpfvoGai0vE5VJ0w"/>
    <s v="Ugw5fhQx-Vl4PJGGW3d4AaABAg"/>
    <s v="oN6mOmEruOQ"/>
    <s v="https://www.youtube.com/watch?v=oN6mOmEruOQ"/>
    <s v="none"/>
    <n v="0"/>
    <x v="85"/>
    <d v="2020-06-20T23:29:19.000"/>
    <m/>
    <m/>
    <m/>
    <n v="1"/>
    <s v="2"/>
    <s v="2"/>
    <m/>
    <m/>
    <m/>
    <m/>
    <m/>
    <m/>
    <m/>
    <m/>
    <m/>
  </r>
  <r>
    <s v="UCs9Zw6uGqXK6z3gqHx5xbwA"/>
    <s v="UCFp1vaKzpfvoGai0vE5VJ0w"/>
    <m/>
    <m/>
    <m/>
    <m/>
    <m/>
    <m/>
    <m/>
    <m/>
    <s v="Yes"/>
    <n v="89"/>
    <m/>
    <m/>
    <s v="Commented Video"/>
    <s v="Comment"/>
    <s v="Is it correct that if you publish this idea to the PBI service it won’t refresh? I have a direct query report and I added this to the report, but it will refresh in the Desktop but won’t refresh in the Service. Anyone that can help me out?"/>
    <s v="UCs9Zw6uGqXK6z3gqHx5xbwA"/>
    <s v="nieck de klein"/>
    <s v="http://www.youtube.com/channel/UCs9Zw6uGqXK6z3gqHx5xbwA"/>
    <m/>
    <s v="oN6mOmEruOQ"/>
    <s v="https://www.youtube.com/watch?v=oN6mOmEruOQ"/>
    <s v="none"/>
    <n v="0"/>
    <x v="86"/>
    <d v="2020-06-19T10:34:22.000"/>
    <m/>
    <m/>
    <m/>
    <n v="1"/>
    <s v="2"/>
    <s v="2"/>
    <m/>
    <m/>
    <m/>
    <m/>
    <m/>
    <m/>
    <m/>
    <m/>
    <m/>
  </r>
  <r>
    <s v="UCFp1vaKzpfvoGai0vE5VJ0w"/>
    <s v="UCtiQc0zJFxaNRxiHxcATdBw"/>
    <m/>
    <m/>
    <m/>
    <m/>
    <m/>
    <m/>
    <m/>
    <m/>
    <s v="Yes"/>
    <n v="90"/>
    <m/>
    <m/>
    <s v="Replied Comment"/>
    <s v="Reply"/>
    <s v="The idea with this date is that this is the last time the refresh/processing was done. With Power BI, it is a complete refresh. You can&amp;#39;t pick partial data sources."/>
    <s v="UCFp1vaKzpfvoGai0vE5VJ0w"/>
    <s v="Guy in a Cube"/>
    <s v="http://www.youtube.com/channel/UCFp1vaKzpfvoGai0vE5VJ0w"/>
    <s v="Ugyv-zKVEJHJOL5_iVF4AaABAg"/>
    <s v="oN6mOmEruOQ"/>
    <s v="https://www.youtube.com/watch?v=oN6mOmEruOQ"/>
    <s v="none"/>
    <n v="0"/>
    <x v="87"/>
    <d v="2020-06-20T23:22:58.000"/>
    <m/>
    <m/>
    <m/>
    <n v="1"/>
    <s v="2"/>
    <s v="2"/>
    <m/>
    <m/>
    <m/>
    <m/>
    <m/>
    <m/>
    <m/>
    <m/>
    <m/>
  </r>
  <r>
    <s v="UCtiQc0zJFxaNRxiHxcATdBw"/>
    <s v="UCtiQc0zJFxaNRxiHxcATdBw"/>
    <m/>
    <m/>
    <m/>
    <m/>
    <m/>
    <m/>
    <m/>
    <m/>
    <s v="No"/>
    <n v="91"/>
    <m/>
    <m/>
    <s v="Replied Comment"/>
    <s v="Reply"/>
    <s v="@Guy in a Cube i was reffering to the data source refresh issue, and not PBI refresh. If one of the data SOURCES such account master didn&amp;#39;t refresh for that day for example due to failure in ETL process, while other sources did get refreshed such CRM. PBI will assume that all data sources got refreshed, and will show that last day this deck refreshed however it didn&amp;#39;t tell you what is the actual duration of this data, which was part of your introduction briefing. &lt;br /&gt;I can walk you into a real world example of how this methodology in complex environments may create serious wrong assumptions."/>
    <s v="UCtiQc0zJFxaNRxiHxcATdBw"/>
    <s v="Michel M"/>
    <s v="http://www.youtube.com/channel/UCtiQc0zJFxaNRxiHxcATdBw"/>
    <s v="Ugyv-zKVEJHJOL5_iVF4AaABAg"/>
    <s v="oN6mOmEruOQ"/>
    <s v="https://www.youtube.com/watch?v=oN6mOmEruOQ"/>
    <s v="none"/>
    <n v="0"/>
    <x v="88"/>
    <d v="2020-06-20T23:40:45.000"/>
    <m/>
    <m/>
    <m/>
    <n v="1"/>
    <s v="2"/>
    <s v="2"/>
    <m/>
    <m/>
    <m/>
    <m/>
    <m/>
    <m/>
    <m/>
    <m/>
    <m/>
  </r>
  <r>
    <s v="UCtiQc0zJFxaNRxiHxcATdBw"/>
    <s v="UCFp1vaKzpfvoGai0vE5VJ0w"/>
    <m/>
    <m/>
    <m/>
    <m/>
    <m/>
    <m/>
    <m/>
    <m/>
    <s v="Yes"/>
    <n v="92"/>
    <m/>
    <m/>
    <s v="Commented Video"/>
    <s v="Comment"/>
    <s v="Thanks for the video, yet This could be problematic if you have multiple data sources and some of them might not refresh or might not bring the full data as expected, which happen often in our production environment.&lt;br /&gt;I suggest using Max date per table, where you actually see the actual latest date in your calendar.&lt;br /&gt;&lt;br /&gt;I have a data model that has multiple marketing channels feeding into it, and then connected to GA along to CRM and ACMST, each one of these tables has also date and I always want to insure all tables are refreshed so I created a deck with multiple fields that shows the max date for each table."/>
    <s v="UCtiQc0zJFxaNRxiHxcATdBw"/>
    <s v="Michel M"/>
    <s v="http://www.youtube.com/channel/UCtiQc0zJFxaNRxiHxcATdBw"/>
    <m/>
    <s v="oN6mOmEruOQ"/>
    <s v="https://www.youtube.com/watch?v=oN6mOmEruOQ"/>
    <s v="none"/>
    <n v="0"/>
    <x v="89"/>
    <d v="2020-06-20T15:34:26.000"/>
    <m/>
    <m/>
    <m/>
    <n v="1"/>
    <s v="2"/>
    <s v="2"/>
    <m/>
    <m/>
    <m/>
    <m/>
    <m/>
    <m/>
    <m/>
    <m/>
    <m/>
  </r>
  <r>
    <s v="UCy2rBgj4M1tzK-urTZ28zcA"/>
    <s v="UCAVJ-HHJHIz38ZUpqPX3B9w"/>
    <m/>
    <m/>
    <m/>
    <m/>
    <m/>
    <m/>
    <m/>
    <m/>
    <s v="Yes"/>
    <n v="93"/>
    <m/>
    <m/>
    <s v="Replied Comment"/>
    <s v="Reply"/>
    <s v="Glad you like them!"/>
    <s v="UCy2rBgj4M1tzK-urTZ28zcA"/>
    <s v="Enterprise DNA"/>
    <s v="http://www.youtube.com/channel/UCy2rBgj4M1tzK-urTZ28zcA"/>
    <s v="UgwpIkhiWip5GSNt6J54AaABAg"/>
    <s v="iveCss_hzDo"/>
    <s v="https://www.youtube.com/watch?v=iveCss_hzDo"/>
    <s v="none"/>
    <n v="0"/>
    <x v="90"/>
    <d v="2020-06-18T04:27:10.000"/>
    <m/>
    <m/>
    <m/>
    <n v="1"/>
    <s v="13"/>
    <s v="13"/>
    <m/>
    <m/>
    <m/>
    <m/>
    <m/>
    <m/>
    <m/>
    <m/>
    <m/>
  </r>
  <r>
    <s v="UCAVJ-HHJHIz38ZUpqPX3B9w"/>
    <s v="UCy2rBgj4M1tzK-urTZ28zcA"/>
    <m/>
    <m/>
    <m/>
    <m/>
    <m/>
    <m/>
    <m/>
    <m/>
    <s v="Yes"/>
    <n v="94"/>
    <m/>
    <m/>
    <s v="Commented Video"/>
    <s v="Comment"/>
    <s v="If I could give many thumbs up, I would give. All your videos are so well explained!"/>
    <s v="UCAVJ-HHJHIz38ZUpqPX3B9w"/>
    <s v="Vida"/>
    <s v="http://www.youtube.com/channel/UCAVJ-HHJHIz38ZUpqPX3B9w"/>
    <m/>
    <s v="iveCss_hzDo"/>
    <s v="https://www.youtube.com/watch?v=iveCss_hzDo"/>
    <s v="none"/>
    <n v="3"/>
    <x v="91"/>
    <d v="2020-06-17T00:53:42.000"/>
    <m/>
    <m/>
    <m/>
    <n v="1"/>
    <s v="13"/>
    <s v="13"/>
    <m/>
    <m/>
    <m/>
    <m/>
    <m/>
    <m/>
    <m/>
    <m/>
    <m/>
  </r>
  <r>
    <s v="UCy2rBgj4M1tzK-urTZ28zcA"/>
    <s v="UCdZXQlNEEb80jKMVCgQufXQ"/>
    <m/>
    <m/>
    <m/>
    <m/>
    <m/>
    <m/>
    <m/>
    <m/>
    <s v="Yes"/>
    <n v="95"/>
    <m/>
    <m/>
    <s v="Replied Comment"/>
    <s v="Reply"/>
    <s v="Glad you liked it!"/>
    <s v="UCy2rBgj4M1tzK-urTZ28zcA"/>
    <s v="Enterprise DNA"/>
    <s v="http://www.youtube.com/channel/UCy2rBgj4M1tzK-urTZ28zcA"/>
    <s v="UgyNFsNrTBWUNj61i7h4AaABAg"/>
    <s v="iveCss_hzDo"/>
    <s v="https://www.youtube.com/watch?v=iveCss_hzDo"/>
    <s v="none"/>
    <n v="0"/>
    <x v="92"/>
    <d v="2020-06-18T04:24:36.000"/>
    <m/>
    <m/>
    <m/>
    <n v="1"/>
    <s v="13"/>
    <s v="13"/>
    <m/>
    <m/>
    <m/>
    <m/>
    <m/>
    <m/>
    <m/>
    <m/>
    <m/>
  </r>
  <r>
    <s v="UCdZXQlNEEb80jKMVCgQufXQ"/>
    <s v="UCy2rBgj4M1tzK-urTZ28zcA"/>
    <m/>
    <m/>
    <m/>
    <m/>
    <m/>
    <m/>
    <m/>
    <m/>
    <s v="Yes"/>
    <n v="96"/>
    <m/>
    <m/>
    <s v="Commented Video"/>
    <s v="Comment"/>
    <s v="This is made simple. Just like your every other video. &lt;br /&gt;Amazing! Thank you"/>
    <s v="UCdZXQlNEEb80jKMVCgQufXQ"/>
    <s v="Sudhir Abhange"/>
    <s v="http://www.youtube.com/channel/UCdZXQlNEEb80jKMVCgQufXQ"/>
    <m/>
    <s v="iveCss_hzDo"/>
    <s v="https://www.youtube.com/watch?v=iveCss_hzDo"/>
    <s v="none"/>
    <n v="1"/>
    <x v="93"/>
    <d v="2020-06-17T14:35:07.000"/>
    <m/>
    <m/>
    <m/>
    <n v="1"/>
    <s v="13"/>
    <s v="13"/>
    <m/>
    <m/>
    <m/>
    <m/>
    <m/>
    <m/>
    <m/>
    <m/>
    <m/>
  </r>
  <r>
    <s v="UCLMzXVHnHNXjwWqNDLPW6cg"/>
    <s v="UCAowWiRWK0qWlIRpK9WzQNA"/>
    <m/>
    <m/>
    <m/>
    <m/>
    <m/>
    <m/>
    <m/>
    <m/>
    <s v="Yes"/>
    <n v="97"/>
    <m/>
    <m/>
    <s v="Replied Comment"/>
    <s v="Reply"/>
    <s v="Hello Girish, Thanks for your appericiation😊&lt;br /&gt;My remarks on this -&lt;br /&gt;1- According to my location it is taking default time zone of Malaysia utc+8 but you can change this.&lt;br /&gt;2- If i am pro user how can i use same mail for premium login??&lt;br /&gt;3- Yes, to get updated data from online live web api need scheduled refresh and no datagateway required."/>
    <s v="UCLMzXVHnHNXjwWqNDLPW6cg"/>
    <s v="Power Bi Tutorials"/>
    <s v="http://www.youtube.com/channel/UCLMzXVHnHNXjwWqNDLPW6cg"/>
    <s v="UgzOnzie1U-PSa6WpC54AaABAg"/>
    <s v="UJdJffYWo5w"/>
    <s v="https://www.youtube.com/watch?v=UJdJffYWo5w"/>
    <s v="none"/>
    <n v="0"/>
    <x v="94"/>
    <d v="2020-06-17T17:28:20.000"/>
    <m/>
    <m/>
    <m/>
    <n v="1"/>
    <s v="25"/>
    <s v="25"/>
    <m/>
    <m/>
    <m/>
    <m/>
    <m/>
    <m/>
    <m/>
    <m/>
    <m/>
  </r>
  <r>
    <s v="UCAowWiRWK0qWlIRpK9WzQNA"/>
    <s v="UCLMzXVHnHNXjwWqNDLPW6cg"/>
    <m/>
    <m/>
    <m/>
    <m/>
    <m/>
    <m/>
    <m/>
    <m/>
    <s v="Yes"/>
    <n v="98"/>
    <m/>
    <m/>
    <s v="Commented Video"/>
    <s v="Comment"/>
    <s v="A good video.. no doubt .&lt;br /&gt;But few suggestions..&lt;br /&gt;1. While scheduling refresh, you didnt change geographical timing setup. It was set to UTC+8 (i believe)&lt;br /&gt;2. You are a pro license user, so u can schedule for 8 times. But if u are a pro license user and hosting your report to Premium App workspace, 48 times scheduled refresh is possible.&lt;br /&gt;3. In video you can also say that... since the datasource is online based so, no on-prem data gateway is required for scheduled refresh (i hope i am right on this)"/>
    <s v="UCAowWiRWK0qWlIRpK9WzQNA"/>
    <s v="Girish Panda"/>
    <s v="http://www.youtube.com/channel/UCAowWiRWK0qWlIRpK9WzQNA"/>
    <m/>
    <s v="UJdJffYWo5w"/>
    <s v="https://www.youtube.com/watch?v=UJdJffYWo5w"/>
    <s v="none"/>
    <n v="2"/>
    <x v="95"/>
    <d v="2020-06-17T15:29:24.000"/>
    <m/>
    <m/>
    <m/>
    <n v="1"/>
    <s v="25"/>
    <s v="25"/>
    <m/>
    <m/>
    <m/>
    <m/>
    <m/>
    <m/>
    <m/>
    <m/>
    <m/>
  </r>
  <r>
    <s v="UCOcjS2ppQSqIsbMgWGCfLew"/>
    <s v="UC5soOn0QU0yvs6Pe7K0tefQ"/>
    <m/>
    <m/>
    <m/>
    <m/>
    <m/>
    <m/>
    <m/>
    <m/>
    <s v="Yes"/>
    <n v="99"/>
    <m/>
    <m/>
    <s v="Replied Comment"/>
    <s v="Reply"/>
    <s v="Olá Oscar. Dia 7/jul. Abs"/>
    <s v="UCOcjS2ppQSqIsbMgWGCfLew"/>
    <s v="Leonardo Karpinski - Mestre Power BI"/>
    <s v="http://www.youtube.com/channel/UCOcjS2ppQSqIsbMgWGCfLew"/>
    <s v="Ugy9-EfpgDRRsCGKUax4AaABAg"/>
    <s v="JLwYv2Ok6XY"/>
    <s v="https://www.youtube.com/watch?v=JLwYv2Ok6XY"/>
    <s v="none"/>
    <n v="1"/>
    <x v="96"/>
    <d v="2020-06-17T13:17:48.000"/>
    <m/>
    <m/>
    <m/>
    <n v="1"/>
    <s v="7"/>
    <s v="7"/>
    <m/>
    <m/>
    <m/>
    <m/>
    <m/>
    <m/>
    <m/>
    <m/>
    <m/>
  </r>
  <r>
    <s v="UC5soOn0QU0yvs6Pe7K0tefQ"/>
    <s v="UCOcjS2ppQSqIsbMgWGCfLew"/>
    <m/>
    <m/>
    <m/>
    <m/>
    <m/>
    <m/>
    <m/>
    <m/>
    <s v="Yes"/>
    <n v="100"/>
    <m/>
    <m/>
    <s v="Commented Video"/>
    <s v="Comment"/>
    <s v="Quando você abrirá as inscrições para o curso completo do Power Bi?"/>
    <s v="UC5soOn0QU0yvs6Pe7K0tefQ"/>
    <s v="Oscar Katsinis"/>
    <s v="http://www.youtube.com/channel/UC5soOn0QU0yvs6Pe7K0tefQ"/>
    <m/>
    <s v="JLwYv2Ok6XY"/>
    <s v="https://www.youtube.com/watch?v=JLwYv2Ok6XY"/>
    <s v="none"/>
    <n v="1"/>
    <x v="97"/>
    <d v="2020-06-17T01:51:48.000"/>
    <m/>
    <m/>
    <m/>
    <n v="1"/>
    <s v="7"/>
    <s v="7"/>
    <m/>
    <m/>
    <m/>
    <m/>
    <m/>
    <m/>
    <m/>
    <m/>
    <m/>
  </r>
  <r>
    <s v="UCOcjS2ppQSqIsbMgWGCfLew"/>
    <s v="UCdfD0z5ZWKOX_UQ2VusGI1g"/>
    <m/>
    <m/>
    <m/>
    <m/>
    <m/>
    <m/>
    <m/>
    <m/>
    <s v="Yes"/>
    <n v="101"/>
    <m/>
    <m/>
    <s v="Replied Comment"/>
    <s v="Reply"/>
    <s v="Valeuu"/>
    <s v="UCOcjS2ppQSqIsbMgWGCfLew"/>
    <s v="Leonardo Karpinski - Mestre Power BI"/>
    <s v="http://www.youtube.com/channel/UCOcjS2ppQSqIsbMgWGCfLew"/>
    <s v="UgzLUMoqetAguO1epNR4AaABAg"/>
    <s v="JLwYv2Ok6XY"/>
    <s v="https://www.youtube.com/watch?v=JLwYv2Ok6XY"/>
    <s v="none"/>
    <n v="0"/>
    <x v="98"/>
    <d v="2020-06-17T15:38:51.000"/>
    <m/>
    <m/>
    <m/>
    <n v="1"/>
    <s v="7"/>
    <s v="7"/>
    <m/>
    <m/>
    <m/>
    <m/>
    <m/>
    <m/>
    <m/>
    <m/>
    <m/>
  </r>
  <r>
    <s v="UCdfD0z5ZWKOX_UQ2VusGI1g"/>
    <s v="UCOcjS2ppQSqIsbMgWGCfLew"/>
    <m/>
    <m/>
    <m/>
    <m/>
    <m/>
    <m/>
    <m/>
    <m/>
    <s v="Yes"/>
    <n v="102"/>
    <m/>
    <m/>
    <s v="Commented Video"/>
    <s v="Comment"/>
    <s v="Muito boa a live, pra cima !!!"/>
    <s v="UCdfD0z5ZWKOX_UQ2VusGI1g"/>
    <s v="Bruno Rubino"/>
    <s v="http://www.youtube.com/channel/UCdfD0z5ZWKOX_UQ2VusGI1g"/>
    <m/>
    <s v="JLwYv2Ok6XY"/>
    <s v="https://www.youtube.com/watch?v=JLwYv2Ok6XY"/>
    <s v="none"/>
    <n v="1"/>
    <x v="99"/>
    <d v="2020-06-17T02:17:28.000"/>
    <m/>
    <m/>
    <m/>
    <n v="1"/>
    <s v="7"/>
    <s v="7"/>
    <m/>
    <m/>
    <m/>
    <m/>
    <m/>
    <m/>
    <m/>
    <m/>
    <m/>
  </r>
  <r>
    <s v="UCOcjS2ppQSqIsbMgWGCfLew"/>
    <s v="UCcBqmhhOJhdSmfXNeIBAehw"/>
    <m/>
    <m/>
    <m/>
    <m/>
    <m/>
    <m/>
    <m/>
    <m/>
    <s v="Yes"/>
    <n v="103"/>
    <m/>
    <m/>
    <s v="Replied Comment"/>
    <s v="Reply"/>
    <s v="Sim, é possível. Procure pela documentação das APIs do Office 365. Abs"/>
    <s v="UCOcjS2ppQSqIsbMgWGCfLew"/>
    <s v="Leonardo Karpinski - Mestre Power BI"/>
    <s v="http://www.youtube.com/channel/UCOcjS2ppQSqIsbMgWGCfLew"/>
    <s v="UgzoDdWlPnUUgMMhL6t4AaABAg"/>
    <s v="JLwYv2Ok6XY"/>
    <s v="https://www.youtube.com/watch?v=JLwYv2Ok6XY"/>
    <s v="none"/>
    <n v="0"/>
    <x v="100"/>
    <d v="2020-06-17T13:17:23.000"/>
    <m/>
    <m/>
    <m/>
    <n v="1"/>
    <s v="7"/>
    <s v="7"/>
    <m/>
    <m/>
    <m/>
    <m/>
    <m/>
    <m/>
    <m/>
    <m/>
    <m/>
  </r>
  <r>
    <s v="UCcBqmhhOJhdSmfXNeIBAehw"/>
    <s v="UCOcjS2ppQSqIsbMgWGCfLew"/>
    <m/>
    <m/>
    <m/>
    <m/>
    <m/>
    <m/>
    <m/>
    <m/>
    <s v="Yes"/>
    <n v="104"/>
    <m/>
    <m/>
    <s v="Commented Video"/>
    <s v="Comment"/>
    <s v="Leonardo boa noite, como faço para ligar o portal de admin do office 365 no BI para gerenciar as licenças disponíveis de softwares?  É possível?"/>
    <s v="UCcBqmhhOJhdSmfXNeIBAehw"/>
    <s v="Bruno Sávio"/>
    <s v="http://www.youtube.com/channel/UCcBqmhhOJhdSmfXNeIBAehw"/>
    <m/>
    <s v="JLwYv2Ok6XY"/>
    <s v="https://www.youtube.com/watch?v=JLwYv2Ok6XY"/>
    <s v="none"/>
    <n v="1"/>
    <x v="101"/>
    <d v="2020-06-17T03:32:56.000"/>
    <m/>
    <m/>
    <m/>
    <n v="1"/>
    <s v="7"/>
    <s v="7"/>
    <m/>
    <m/>
    <m/>
    <m/>
    <m/>
    <m/>
    <m/>
    <m/>
    <m/>
  </r>
  <r>
    <s v="UCOcjS2ppQSqIsbMgWGCfLew"/>
    <s v="UClfdPRaAYRr_hm1QXPw0qfg"/>
    <m/>
    <m/>
    <m/>
    <m/>
    <m/>
    <m/>
    <m/>
    <m/>
    <s v="Yes"/>
    <n v="105"/>
    <m/>
    <m/>
    <s v="Replied Comment"/>
    <s v="Reply"/>
    <s v="Po, que legal Calvin, fico feliz em saber cara. Foi um prazer atender vocês pessoalmente! Grande abraço"/>
    <s v="UCOcjS2ppQSqIsbMgWGCfLew"/>
    <s v="Leonardo Karpinski - Mestre Power BI"/>
    <s v="http://www.youtube.com/channel/UCOcjS2ppQSqIsbMgWGCfLew"/>
    <s v="Ugx1_n9CcaMQZ0f6MZl4AaABAg"/>
    <s v="JLwYv2Ok6XY"/>
    <s v="https://www.youtube.com/watch?v=JLwYv2Ok6XY"/>
    <s v="none"/>
    <n v="1"/>
    <x v="102"/>
    <d v="2020-06-17T15:38:46.000"/>
    <m/>
    <m/>
    <m/>
    <n v="1"/>
    <s v="7"/>
    <s v="7"/>
    <m/>
    <m/>
    <m/>
    <m/>
    <m/>
    <m/>
    <m/>
    <m/>
    <m/>
  </r>
  <r>
    <s v="UClfdPRaAYRr_hm1QXPw0qfg"/>
    <s v="UCOcjS2ppQSqIsbMgWGCfLew"/>
    <m/>
    <m/>
    <m/>
    <m/>
    <m/>
    <m/>
    <m/>
    <m/>
    <s v="Yes"/>
    <n v="106"/>
    <m/>
    <m/>
    <s v="Commented Video"/>
    <s v="Comment"/>
    <s v="Seus conteúdos são ouro Leo! Sou muito grato pelo seu treinamento que possibilitou iniciarmos uma grande vertente da revolução digital na empresa que eu estava ano passado! Muito obrigado sempre."/>
    <s v="UClfdPRaAYRr_hm1QXPw0qfg"/>
    <s v="Calvin Iost"/>
    <s v="http://www.youtube.com/channel/UClfdPRaAYRr_hm1QXPw0qfg"/>
    <m/>
    <s v="JLwYv2Ok6XY"/>
    <s v="https://www.youtube.com/watch?v=JLwYv2Ok6XY"/>
    <s v="none"/>
    <n v="1"/>
    <x v="103"/>
    <d v="2020-06-17T03:41:02.000"/>
    <m/>
    <m/>
    <m/>
    <n v="1"/>
    <s v="7"/>
    <s v="7"/>
    <m/>
    <m/>
    <m/>
    <m/>
    <m/>
    <m/>
    <m/>
    <m/>
    <m/>
  </r>
  <r>
    <s v="UCaibApO4Ht7dCy_MZwlVNQw"/>
    <s v="UCoBQCIDn3ecsqTOv94tVv1Q"/>
    <m/>
    <m/>
    <m/>
    <m/>
    <m/>
    <m/>
    <m/>
    <m/>
    <s v="No"/>
    <n v="107"/>
    <m/>
    <m/>
    <s v="Replied Comment"/>
    <s v="Reply"/>
    <s v="Boa tarde Edenir, amigo com o Insomnia consigo consumir uma api diariamente e registrar em banco com a data do dia? Os dados são os mesmos, o que preciso é comparar hoje - ontem, no powerbi resolvo a comparação, só preciso da requisição diária, não consegui encontrar uma maneira de manter o dia anterior no powerquery, se for possível com insomnia vou estudar ele."/>
    <s v="UCaibApO4Ht7dCy_MZwlVNQw"/>
    <s v="Diego Ferreira"/>
    <s v="http://www.youtube.com/channel/UCaibApO4Ht7dCy_MZwlVNQw"/>
    <s v="UgzW0RYtqzGVG1PsmoV4AaABAg"/>
    <s v="JLwYv2Ok6XY"/>
    <s v="https://www.youtube.com/watch?v=JLwYv2Ok6XY"/>
    <s v="none"/>
    <n v="1"/>
    <x v="104"/>
    <d v="2020-06-17T20:38:52.000"/>
    <m/>
    <m/>
    <m/>
    <n v="1"/>
    <s v="7"/>
    <s v="7"/>
    <m/>
    <m/>
    <m/>
    <m/>
    <m/>
    <m/>
    <m/>
    <m/>
    <m/>
  </r>
  <r>
    <s v="UCOcjS2ppQSqIsbMgWGCfLew"/>
    <s v="UCoBQCIDn3ecsqTOv94tVv1Q"/>
    <m/>
    <m/>
    <m/>
    <m/>
    <m/>
    <m/>
    <m/>
    <m/>
    <s v="Yes"/>
    <n v="108"/>
    <m/>
    <m/>
    <s v="Replied Comment"/>
    <s v="Reply"/>
    <s v="Show, valeu"/>
    <s v="UCOcjS2ppQSqIsbMgWGCfLew"/>
    <s v="Leonardo Karpinski - Mestre Power BI"/>
    <s v="http://www.youtube.com/channel/UCOcjS2ppQSqIsbMgWGCfLew"/>
    <s v="UgzW0RYtqzGVG1PsmoV4AaABAg"/>
    <s v="JLwYv2Ok6XY"/>
    <s v="https://www.youtube.com/watch?v=JLwYv2Ok6XY"/>
    <s v="none"/>
    <n v="1"/>
    <x v="105"/>
    <d v="2020-06-17T13:17:34.000"/>
    <m/>
    <m/>
    <m/>
    <n v="1"/>
    <s v="7"/>
    <s v="7"/>
    <m/>
    <m/>
    <m/>
    <m/>
    <m/>
    <m/>
    <m/>
    <m/>
    <m/>
  </r>
  <r>
    <s v="UCoBQCIDn3ecsqTOv94tVv1Q"/>
    <s v="UCOcjS2ppQSqIsbMgWGCfLew"/>
    <m/>
    <m/>
    <m/>
    <m/>
    <m/>
    <m/>
    <m/>
    <m/>
    <s v="Yes"/>
    <n v="109"/>
    <m/>
    <m/>
    <s v="Commented Video"/>
    <s v="Comment"/>
    <s v="Leo, pra consumir API também pode usar o Insomnia, que é muito bom. Bastante leve."/>
    <s v="UCoBQCIDn3ecsqTOv94tVv1Q"/>
    <s v="Edenir de Souza"/>
    <s v="http://www.youtube.com/channel/UCoBQCIDn3ecsqTOv94tVv1Q"/>
    <m/>
    <s v="JLwYv2Ok6XY"/>
    <s v="https://www.youtube.com/watch?v=JLwYv2Ok6XY"/>
    <s v="none"/>
    <n v="1"/>
    <x v="106"/>
    <d v="2020-06-17T04:27:55.000"/>
    <m/>
    <m/>
    <m/>
    <n v="1"/>
    <s v="7"/>
    <s v="7"/>
    <m/>
    <m/>
    <m/>
    <m/>
    <m/>
    <m/>
    <m/>
    <m/>
    <m/>
  </r>
  <r>
    <s v="UCoBQCIDn3ecsqTOv94tVv1Q"/>
    <s v="UCoBQCIDn3ecsqTOv94tVv1Q"/>
    <m/>
    <m/>
    <m/>
    <m/>
    <m/>
    <m/>
    <m/>
    <m/>
    <s v="No"/>
    <n v="110"/>
    <m/>
    <m/>
    <s v="Replied Comment"/>
    <s v="Reply"/>
    <s v="@Diego Ferreira Não sei te dizer ...Comentei do Insomnia pois uso para estudar desenvolvimento de aplicativos móveis, mas uso somente em ambiente de estudo mesmo. Daí teríamos que ver com nosso mestre Leo.. Também gostaria de consultar dados de indicadores econômicos (IGPM, IPCA, INPC) no Power BI via API. Tenho muito que aprender."/>
    <s v="UCoBQCIDn3ecsqTOv94tVv1Q"/>
    <s v="Edenir de Souza"/>
    <s v="http://www.youtube.com/channel/UCoBQCIDn3ecsqTOv94tVv1Q"/>
    <s v="UgzW0RYtqzGVG1PsmoV4AaABAg"/>
    <s v="JLwYv2Ok6XY"/>
    <s v="https://www.youtube.com/watch?v=JLwYv2Ok6XY"/>
    <s v="none"/>
    <n v="1"/>
    <x v="107"/>
    <d v="2020-06-17T20:45:18.000"/>
    <m/>
    <m/>
    <m/>
    <n v="1"/>
    <s v="7"/>
    <s v="7"/>
    <m/>
    <m/>
    <m/>
    <m/>
    <m/>
    <m/>
    <m/>
    <m/>
    <m/>
  </r>
  <r>
    <s v="UCJ7UhloHSA4wAqPzyi6TOkw"/>
    <s v="UCNtxphdCgm2USyyvxY_6BSw"/>
    <m/>
    <m/>
    <m/>
    <m/>
    <m/>
    <m/>
    <m/>
    <m/>
    <s v="Yes"/>
    <n v="111"/>
    <m/>
    <m/>
    <s v="Replied Comment"/>
    <s v="Reply"/>
    <s v="Let us know your findings!&lt;br /&gt;/Ruth"/>
    <s v="UCJ7UhloHSA4wAqPzyi6TOkw"/>
    <s v="Curbal"/>
    <s v="http://www.youtube.com/channel/UCJ7UhloHSA4wAqPzyi6TOkw"/>
    <s v="UgzKgopl3rLoz8eZ9Bt4AaABAg"/>
    <s v="zXJphXou0TE"/>
    <s v="https://www.youtube.com/watch?v=zXJphXou0TE"/>
    <s v="none"/>
    <n v="0"/>
    <x v="108"/>
    <d v="2020-06-17T14:22:41.000"/>
    <m/>
    <m/>
    <m/>
    <n v="1"/>
    <s v="6"/>
    <s v="6"/>
    <m/>
    <m/>
    <m/>
    <m/>
    <m/>
    <m/>
    <m/>
    <m/>
    <m/>
  </r>
  <r>
    <s v="UCNtxphdCgm2USyyvxY_6BSw"/>
    <s v="UCJ7UhloHSA4wAqPzyi6TOkw"/>
    <m/>
    <m/>
    <m/>
    <m/>
    <m/>
    <m/>
    <m/>
    <m/>
    <s v="Yes"/>
    <n v="112"/>
    <m/>
    <m/>
    <s v="Commented Video"/>
    <s v="Comment"/>
    <s v="I’ll have to try this to analyze how many webinars I watch. I do heavily use the File Explorer connector to find large files or files updated recently."/>
    <s v="UCNtxphdCgm2USyyvxY_6BSw"/>
    <s v="Donald Parish"/>
    <s v="http://www.youtube.com/channel/UCNtxphdCgm2USyyvxY_6BSw"/>
    <m/>
    <s v="zXJphXou0TE"/>
    <s v="https://www.youtube.com/watch?v=zXJphXou0TE"/>
    <s v="none"/>
    <n v="1"/>
    <x v="109"/>
    <d v="2020-06-17T14:15:30.000"/>
    <m/>
    <m/>
    <m/>
    <n v="1"/>
    <s v="6"/>
    <s v="6"/>
    <m/>
    <m/>
    <m/>
    <m/>
    <m/>
    <m/>
    <m/>
    <m/>
    <m/>
  </r>
  <r>
    <s v="UCJ7UhloHSA4wAqPzyi6TOkw"/>
    <s v="UCYHnVKMDox5besxqEIkroww"/>
    <m/>
    <m/>
    <m/>
    <m/>
    <m/>
    <m/>
    <m/>
    <m/>
    <s v="Yes"/>
    <n v="113"/>
    <m/>
    <m/>
    <s v="Replied Comment"/>
    <s v="Reply"/>
    <s v="I thought you might like it 😄&lt;br /&gt;/Ruth"/>
    <s v="UCJ7UhloHSA4wAqPzyi6TOkw"/>
    <s v="Curbal"/>
    <s v="http://www.youtube.com/channel/UCJ7UhloHSA4wAqPzyi6TOkw"/>
    <s v="UgwLO7Bu6Vq4CFev-YJ4AaABAg"/>
    <s v="zXJphXou0TE"/>
    <s v="https://www.youtube.com/watch?v=zXJphXou0TE"/>
    <s v="none"/>
    <n v="0"/>
    <x v="110"/>
    <d v="2020-06-17T15:02:42.000"/>
    <m/>
    <m/>
    <m/>
    <n v="1"/>
    <s v="6"/>
    <s v="6"/>
    <m/>
    <m/>
    <m/>
    <m/>
    <m/>
    <m/>
    <m/>
    <m/>
    <m/>
  </r>
  <r>
    <s v="UCYHnVKMDox5besxqEIkroww"/>
    <s v="UCJ7UhloHSA4wAqPzyi6TOkw"/>
    <m/>
    <m/>
    <m/>
    <m/>
    <m/>
    <m/>
    <m/>
    <m/>
    <s v="Yes"/>
    <n v="114"/>
    <m/>
    <m/>
    <s v="Commented Video"/>
    <s v="Comment"/>
    <s v="Thanks for providing me with an excuse I can use with my boss."/>
    <s v="UCYHnVKMDox5besxqEIkroww"/>
    <s v="Phoenixspin"/>
    <s v="http://www.youtube.com/channel/UCYHnVKMDox5besxqEIkroww"/>
    <m/>
    <s v="zXJphXou0TE"/>
    <s v="https://www.youtube.com/watch?v=zXJphXou0TE"/>
    <s v="none"/>
    <n v="0"/>
    <x v="111"/>
    <d v="2020-06-17T14:23:03.000"/>
    <m/>
    <m/>
    <m/>
    <n v="1"/>
    <s v="6"/>
    <s v="6"/>
    <m/>
    <m/>
    <m/>
    <m/>
    <m/>
    <m/>
    <m/>
    <m/>
    <m/>
  </r>
  <r>
    <s v="UCJ7UhloHSA4wAqPzyi6TOkw"/>
    <s v="UCiofLi27n8sgbewHe6Bv-5A"/>
    <m/>
    <m/>
    <m/>
    <m/>
    <m/>
    <m/>
    <m/>
    <m/>
    <s v="Yes"/>
    <n v="115"/>
    <m/>
    <m/>
    <s v="Replied Comment"/>
    <s v="Reply"/>
    <s v="Yes please, and share if possible your findings!&lt;br /&gt;/Ruth"/>
    <s v="UCJ7UhloHSA4wAqPzyi6TOkw"/>
    <s v="Curbal"/>
    <s v="http://www.youtube.com/channel/UCJ7UhloHSA4wAqPzyi6TOkw"/>
    <s v="UgyB08Pz2vdh8ocwyVF4AaABAg"/>
    <s v="zXJphXou0TE"/>
    <s v="https://www.youtube.com/watch?v=zXJphXou0TE"/>
    <s v="none"/>
    <n v="0"/>
    <x v="112"/>
    <d v="2020-06-17T15:01:13.000"/>
    <m/>
    <m/>
    <m/>
    <n v="1"/>
    <s v="6"/>
    <s v="6"/>
    <m/>
    <m/>
    <m/>
    <m/>
    <m/>
    <m/>
    <m/>
    <m/>
    <m/>
  </r>
  <r>
    <s v="UCiofLi27n8sgbewHe6Bv-5A"/>
    <s v="UCJ7UhloHSA4wAqPzyi6TOkw"/>
    <m/>
    <m/>
    <m/>
    <m/>
    <m/>
    <m/>
    <m/>
    <m/>
    <s v="Yes"/>
    <n v="116"/>
    <m/>
    <m/>
    <s v="Commented Video"/>
    <s v="Comment"/>
    <s v="Very cool ! I’m going to do the exact same with the number of emails."/>
    <s v="UCiofLi27n8sgbewHe6Bv-5A"/>
    <s v="Pierre-Hadrien ROSINACH"/>
    <s v="http://www.youtube.com/channel/UCiofLi27n8sgbewHe6Bv-5A"/>
    <m/>
    <s v="zXJphXou0TE"/>
    <s v="https://www.youtube.com/watch?v=zXJphXou0TE"/>
    <s v="none"/>
    <n v="1"/>
    <x v="113"/>
    <d v="2020-06-17T14:34:19.000"/>
    <m/>
    <m/>
    <m/>
    <n v="1"/>
    <s v="6"/>
    <s v="6"/>
    <m/>
    <m/>
    <m/>
    <m/>
    <m/>
    <m/>
    <m/>
    <m/>
    <m/>
  </r>
  <r>
    <s v="UCO6Xy7gs7SfTHfGT6cyQ2tw"/>
    <s v="UC6ow7v_YFqcyJQX72HlSewg"/>
    <m/>
    <m/>
    <m/>
    <m/>
    <m/>
    <m/>
    <m/>
    <m/>
    <s v="No"/>
    <n v="117"/>
    <m/>
    <m/>
    <s v="Replied Comment"/>
    <s v="Reply"/>
    <s v="@Curbal Hi, I tried to go into the website, but couldn&amp;#39;t find the right file. Only found one from 2018 but it seems like it is different from the one used in the video."/>
    <s v="UCO6Xy7gs7SfTHfGT6cyQ2tw"/>
    <s v="yobybaduk"/>
    <s v="http://www.youtube.com/channel/UCO6Xy7gs7SfTHfGT6cyQ2tw"/>
    <s v="UgyRU3aXxnBH6x-Yqp54AaABAg"/>
    <s v="zXJphXou0TE"/>
    <s v="https://www.youtube.com/watch?v=zXJphXou0TE"/>
    <s v="none"/>
    <n v="0"/>
    <x v="114"/>
    <d v="2020-06-18T19:15:25.000"/>
    <m/>
    <m/>
    <m/>
    <n v="1"/>
    <s v="6"/>
    <s v="6"/>
    <m/>
    <m/>
    <m/>
    <m/>
    <m/>
    <m/>
    <m/>
    <m/>
    <m/>
  </r>
  <r>
    <s v="UCJ7UhloHSA4wAqPzyi6TOkw"/>
    <s v="UC6ow7v_YFqcyJQX72HlSewg"/>
    <m/>
    <m/>
    <m/>
    <m/>
    <m/>
    <m/>
    <m/>
    <m/>
    <s v="Yes"/>
    <n v="118"/>
    <m/>
    <m/>
    <s v="Replied Comment"/>
    <s v="Reply"/>
    <s v="It is not possible to paste in the description box, but you can find the link to the calendar in the download center.&lt;br /&gt;/Ruth"/>
    <s v="UCJ7UhloHSA4wAqPzyi6TOkw"/>
    <s v="Curbal"/>
    <s v="http://www.youtube.com/channel/UCJ7UhloHSA4wAqPzyi6TOkw"/>
    <s v="UgyRU3aXxnBH6x-Yqp54AaABAg"/>
    <s v="zXJphXou0TE"/>
    <s v="https://www.youtube.com/watch?v=zXJphXou0TE"/>
    <s v="none"/>
    <n v="1"/>
    <x v="115"/>
    <d v="2020-06-17T15:02:18.000"/>
    <m/>
    <m/>
    <m/>
    <n v="1"/>
    <s v="6"/>
    <s v="6"/>
    <m/>
    <m/>
    <m/>
    <m/>
    <m/>
    <m/>
    <m/>
    <m/>
    <m/>
  </r>
  <r>
    <s v="UC6ow7v_YFqcyJQX72HlSewg"/>
    <s v="UC6ow7v_YFqcyJQX72HlSewg"/>
    <m/>
    <m/>
    <m/>
    <m/>
    <m/>
    <m/>
    <m/>
    <m/>
    <s v="No"/>
    <n v="119"/>
    <m/>
    <m/>
    <s v="Replied Comment"/>
    <s v="Reply"/>
    <s v="@Curbal cool! Thanks so much!!"/>
    <s v="UC6ow7v_YFqcyJQX72HlSewg"/>
    <s v="Thi Hai Ha Hoang"/>
    <s v="http://www.youtube.com/channel/UC6ow7v_YFqcyJQX72HlSewg"/>
    <s v="UgyRU3aXxnBH6x-Yqp54AaABAg"/>
    <s v="zXJphXou0TE"/>
    <s v="https://www.youtube.com/watch?v=zXJphXou0TE"/>
    <s v="none"/>
    <n v="0"/>
    <x v="116"/>
    <d v="2020-06-17T16:40:49.000"/>
    <m/>
    <m/>
    <m/>
    <n v="2"/>
    <s v="6"/>
    <s v="6"/>
    <m/>
    <m/>
    <m/>
    <m/>
    <m/>
    <m/>
    <m/>
    <m/>
    <m/>
  </r>
  <r>
    <s v="UC6ow7v_YFqcyJQX72HlSewg"/>
    <s v="UC6ow7v_YFqcyJQX72HlSewg"/>
    <m/>
    <m/>
    <m/>
    <m/>
    <m/>
    <m/>
    <m/>
    <m/>
    <s v="No"/>
    <n v="120"/>
    <m/>
    <m/>
    <s v="Replied Comment"/>
    <s v="Reply"/>
    <s v="@Curbal I was wondering if you have made any videos showing any platforms / tools for project management, sth like Gantt Chart that can be connected to Power BI? Any suggestions/recommendations please? Thanks so much in advance."/>
    <s v="UC6ow7v_YFqcyJQX72HlSewg"/>
    <s v="Thi Hai Ha Hoang"/>
    <s v="http://www.youtube.com/channel/UC6ow7v_YFqcyJQX72HlSewg"/>
    <s v="UgyRU3aXxnBH6x-Yqp54AaABAg"/>
    <s v="zXJphXou0TE"/>
    <s v="https://www.youtube.com/watch?v=zXJphXou0TE"/>
    <s v="none"/>
    <n v="0"/>
    <x v="117"/>
    <d v="2020-06-17T23:36:39.000"/>
    <m/>
    <m/>
    <m/>
    <n v="2"/>
    <s v="6"/>
    <s v="6"/>
    <m/>
    <m/>
    <m/>
    <m/>
    <m/>
    <m/>
    <m/>
    <m/>
    <m/>
  </r>
  <r>
    <s v="UC6ow7v_YFqcyJQX72HlSewg"/>
    <s v="UCJ7UhloHSA4wAqPzyi6TOkw"/>
    <m/>
    <m/>
    <m/>
    <m/>
    <m/>
    <m/>
    <m/>
    <m/>
    <s v="Yes"/>
    <n v="121"/>
    <m/>
    <m/>
    <s v="Commented Video"/>
    <s v="Comment"/>
    <s v="Thank you so much!! However I couldn&amp;#39;t find the calendar code that you used at &lt;a href=&quot;https://www.youtube.com/watch?v=zXJphXou0TE&amp;amp;t=2m29s&quot;&gt;2:29&lt;/a&gt;. Could you please send me the link or paste the code in the description box please? Thanks a million!!!"/>
    <s v="UC6ow7v_YFqcyJQX72HlSewg"/>
    <s v="Thi Hai Ha Hoang"/>
    <s v="http://www.youtube.com/channel/UC6ow7v_YFqcyJQX72HlSewg"/>
    <m/>
    <s v="zXJphXou0TE"/>
    <s v="https://www.youtube.com/watch?v=zXJphXou0TE"/>
    <s v="none"/>
    <n v="0"/>
    <x v="118"/>
    <d v="2020-06-17T14:35:16.000"/>
    <s v=" https://www.youtube.com/watch?v=zXJphXou0TE&amp;amp;t=2m29s"/>
    <s v="youtube.com"/>
    <m/>
    <n v="1"/>
    <s v="6"/>
    <s v="6"/>
    <m/>
    <m/>
    <m/>
    <m/>
    <m/>
    <m/>
    <m/>
    <m/>
    <m/>
  </r>
  <r>
    <s v="UCJ7UhloHSA4wAqPzyi6TOkw"/>
    <s v="UCFkCY2Xtq7Icg5SvH0eERMQ"/>
    <m/>
    <m/>
    <m/>
    <m/>
    <m/>
    <m/>
    <m/>
    <m/>
    <s v="Yes"/>
    <n v="122"/>
    <m/>
    <m/>
    <s v="Replied Comment"/>
    <s v="Reply"/>
    <s v="Got it!&lt;br /&gt;/Ruth"/>
    <s v="UCJ7UhloHSA4wAqPzyi6TOkw"/>
    <s v="Curbal"/>
    <s v="http://www.youtube.com/channel/UCJ7UhloHSA4wAqPzyi6TOkw"/>
    <s v="UgySddn-9BOx7wGfok54AaABAg"/>
    <s v="zXJphXou0TE"/>
    <s v="https://www.youtube.com/watch?v=zXJphXou0TE"/>
    <s v="none"/>
    <n v="1"/>
    <x v="119"/>
    <d v="2020-06-18T17:28:25.000"/>
    <m/>
    <m/>
    <m/>
    <n v="1"/>
    <s v="6"/>
    <s v="6"/>
    <m/>
    <m/>
    <m/>
    <m/>
    <m/>
    <m/>
    <m/>
    <m/>
    <m/>
  </r>
  <r>
    <s v="UCFkCY2Xtq7Icg5SvH0eERMQ"/>
    <s v="UCFkCY2Xtq7Icg5SvH0eERMQ"/>
    <m/>
    <m/>
    <m/>
    <m/>
    <m/>
    <m/>
    <m/>
    <m/>
    <s v="No"/>
    <n v="123"/>
    <m/>
    <m/>
    <s v="Replied Comment"/>
    <s v="Reply"/>
    <s v="Great ! Thanks. Looking forward for DAX Fridays !"/>
    <s v="UCFkCY2Xtq7Icg5SvH0eERMQ"/>
    <s v="Aaditya Hamine"/>
    <s v="http://www.youtube.com/channel/UCFkCY2Xtq7Icg5SvH0eERMQ"/>
    <s v="UgySddn-9BOx7wGfok54AaABAg"/>
    <s v="zXJphXou0TE"/>
    <s v="https://www.youtube.com/watch?v=zXJphXou0TE"/>
    <s v="none"/>
    <n v="0"/>
    <x v="120"/>
    <d v="2020-06-18T17:29:58.000"/>
    <m/>
    <m/>
    <m/>
    <n v="1"/>
    <s v="6"/>
    <s v="6"/>
    <m/>
    <m/>
    <m/>
    <m/>
    <m/>
    <m/>
    <m/>
    <m/>
    <m/>
  </r>
  <r>
    <s v="UCFkCY2Xtq7Icg5SvH0eERMQ"/>
    <s v="UCJ7UhloHSA4wAqPzyi6TOkw"/>
    <m/>
    <m/>
    <m/>
    <m/>
    <m/>
    <m/>
    <m/>
    <m/>
    <s v="Yes"/>
    <n v="124"/>
    <m/>
    <m/>
    <s v="Commented Video"/>
    <s v="Comment"/>
    <s v="Please zoomin the contents , very difficult to figure out what&amp;#39;s is being shown on the screen"/>
    <s v="UCFkCY2Xtq7Icg5SvH0eERMQ"/>
    <s v="Aaditya Hamine"/>
    <s v="http://www.youtube.com/channel/UCFkCY2Xtq7Icg5SvH0eERMQ"/>
    <m/>
    <s v="zXJphXou0TE"/>
    <s v="https://www.youtube.com/watch?v=zXJphXou0TE"/>
    <s v="none"/>
    <n v="0"/>
    <x v="121"/>
    <d v="2020-06-18T04:34:24.000"/>
    <m/>
    <m/>
    <m/>
    <n v="1"/>
    <s v="6"/>
    <s v="6"/>
    <m/>
    <m/>
    <m/>
    <m/>
    <m/>
    <m/>
    <m/>
    <m/>
    <m/>
  </r>
  <r>
    <s v="UCJ7UhloHSA4wAqPzyi6TOkw"/>
    <s v="UCsnM-iHGWJ6wp5RMZbo2UJg"/>
    <m/>
    <m/>
    <m/>
    <m/>
    <m/>
    <m/>
    <m/>
    <m/>
    <s v="Yes"/>
    <n v="125"/>
    <m/>
    <m/>
    <s v="Replied Comment"/>
    <s v="Reply"/>
    <s v="Let us know how it is going!&lt;br /&gt;/Ruth"/>
    <s v="UCJ7UhloHSA4wAqPzyi6TOkw"/>
    <s v="Curbal"/>
    <s v="http://www.youtube.com/channel/UCJ7UhloHSA4wAqPzyi6TOkw"/>
    <s v="UgwvROeLrvnLf77uS894AaABAg"/>
    <s v="zXJphXou0TE"/>
    <s v="https://www.youtube.com/watch?v=zXJphXou0TE"/>
    <s v="none"/>
    <n v="1"/>
    <x v="122"/>
    <d v="2020-06-18T17:28:52.000"/>
    <m/>
    <m/>
    <m/>
    <n v="1"/>
    <s v="6"/>
    <s v="6"/>
    <m/>
    <m/>
    <m/>
    <m/>
    <m/>
    <m/>
    <m/>
    <m/>
    <m/>
  </r>
  <r>
    <s v="UCsnM-iHGWJ6wp5RMZbo2UJg"/>
    <s v="UCJ7UhloHSA4wAqPzyi6TOkw"/>
    <m/>
    <m/>
    <m/>
    <m/>
    <m/>
    <m/>
    <m/>
    <m/>
    <s v="Yes"/>
    <n v="126"/>
    <m/>
    <m/>
    <s v="Commented Video"/>
    <s v="Comment"/>
    <s v="Hey Ruth, thats really nice :) im going to create for myself. Thanks for the idea :)"/>
    <s v="UCsnM-iHGWJ6wp5RMZbo2UJg"/>
    <s v="Emir Tuncer"/>
    <s v="http://www.youtube.com/channel/UCsnM-iHGWJ6wp5RMZbo2UJg"/>
    <m/>
    <s v="zXJphXou0TE"/>
    <s v="https://www.youtube.com/watch?v=zXJphXou0TE"/>
    <s v="none"/>
    <n v="0"/>
    <x v="123"/>
    <d v="2020-06-18T11:02:20.000"/>
    <m/>
    <m/>
    <m/>
    <n v="1"/>
    <s v="6"/>
    <s v="6"/>
    <m/>
    <m/>
    <m/>
    <m/>
    <m/>
    <m/>
    <m/>
    <m/>
    <m/>
  </r>
  <r>
    <s v="UCJ7UhloHSA4wAqPzyi6TOkw"/>
    <s v="UCsuE57N12Jj9RlPZeiTimrQ"/>
    <m/>
    <m/>
    <m/>
    <m/>
    <m/>
    <m/>
    <m/>
    <m/>
    <s v="Yes"/>
    <n v="127"/>
    <m/>
    <m/>
    <s v="Replied Comment"/>
    <s v="Reply"/>
    <s v="Let us know the results!&lt;br /&gt;/Ruth"/>
    <s v="UCJ7UhloHSA4wAqPzyi6TOkw"/>
    <s v="Curbal"/>
    <s v="http://www.youtube.com/channel/UCJ7UhloHSA4wAqPzyi6TOkw"/>
    <s v="UgyZ2XV9SJU1yWcr1294AaABAg"/>
    <s v="zXJphXou0TE"/>
    <s v="https://www.youtube.com/watch?v=zXJphXou0TE"/>
    <s v="none"/>
    <n v="0"/>
    <x v="124"/>
    <d v="2020-06-18T17:30:10.000"/>
    <m/>
    <m/>
    <m/>
    <n v="1"/>
    <s v="6"/>
    <s v="6"/>
    <m/>
    <m/>
    <m/>
    <m/>
    <m/>
    <m/>
    <m/>
    <m/>
    <m/>
  </r>
  <r>
    <s v="UCsuE57N12Jj9RlPZeiTimrQ"/>
    <s v="UCJ7UhloHSA4wAqPzyi6TOkw"/>
    <m/>
    <m/>
    <m/>
    <m/>
    <m/>
    <m/>
    <m/>
    <m/>
    <s v="Yes"/>
    <n v="128"/>
    <m/>
    <m/>
    <s v="Commented Video"/>
    <s v="Comment"/>
    <s v="Great idea Ruth!!!"/>
    <s v="UCsuE57N12Jj9RlPZeiTimrQ"/>
    <s v="Power BI Israel"/>
    <s v="http://www.youtube.com/channel/UCsuE57N12Jj9RlPZeiTimrQ"/>
    <m/>
    <s v="zXJphXou0TE"/>
    <s v="https://www.youtube.com/watch?v=zXJphXou0TE"/>
    <s v="none"/>
    <n v="0"/>
    <x v="125"/>
    <d v="2020-06-18T16:02:59.000"/>
    <m/>
    <m/>
    <m/>
    <n v="1"/>
    <s v="6"/>
    <s v="6"/>
    <m/>
    <m/>
    <m/>
    <m/>
    <m/>
    <m/>
    <m/>
    <m/>
    <m/>
  </r>
  <r>
    <s v="UCvBYTqRx-n_8KzFO0MJlUVw"/>
    <s v="UCGOJ1SXRPs15Ou0r-xq090Q"/>
    <m/>
    <m/>
    <m/>
    <m/>
    <m/>
    <m/>
    <m/>
    <m/>
    <s v="Yes"/>
    <n v="129"/>
    <m/>
    <m/>
    <s v="Replied Comment"/>
    <s v="Reply"/>
    <s v="Glad you found this video useful"/>
    <s v="UCvBYTqRx-n_8KzFO0MJlUVw"/>
    <s v="Reza Dorrani"/>
    <s v="http://www.youtube.com/channel/UCvBYTqRx-n_8KzFO0MJlUVw"/>
    <s v="Ugz0nbiTkvI0ObKzcDV4AaABAg"/>
    <s v="NTUfX9HNdK0"/>
    <s v="https://www.youtube.com/watch?v=NTUfX9HNdK0"/>
    <s v="none"/>
    <n v="1"/>
    <x v="126"/>
    <d v="2020-06-18T06:50:22.000"/>
    <m/>
    <m/>
    <m/>
    <n v="1"/>
    <s v="10"/>
    <s v="10"/>
    <m/>
    <m/>
    <m/>
    <m/>
    <m/>
    <m/>
    <m/>
    <m/>
    <m/>
  </r>
  <r>
    <s v="UCGOJ1SXRPs15Ou0r-xq090Q"/>
    <s v="UCvBYTqRx-n_8KzFO0MJlUVw"/>
    <m/>
    <m/>
    <m/>
    <m/>
    <m/>
    <m/>
    <m/>
    <m/>
    <s v="Yes"/>
    <n v="130"/>
    <m/>
    <m/>
    <s v="Commented Video"/>
    <s v="Comment"/>
    <s v="Love you, sir. This is exactly what I have been looking for. I want to make a PowerApp containing game heroes/characters and then on click of a hero I want to filter out report data of that particular hero stats or abilities. I could do this within Power BI only but I am not sure if I can use images as filtering options on Power BI"/>
    <s v="UCGOJ1SXRPs15Ou0r-xq090Q"/>
    <s v="Mohammed Moosa Laghari"/>
    <s v="http://www.youtube.com/channel/UCGOJ1SXRPs15Ou0r-xq090Q"/>
    <m/>
    <s v="NTUfX9HNdK0"/>
    <s v="https://www.youtube.com/watch?v=NTUfX9HNdK0"/>
    <s v="none"/>
    <n v="1"/>
    <x v="127"/>
    <d v="2020-06-17T19:05:54.000"/>
    <m/>
    <m/>
    <m/>
    <n v="1"/>
    <s v="10"/>
    <s v="10"/>
    <m/>
    <m/>
    <m/>
    <m/>
    <m/>
    <m/>
    <m/>
    <m/>
    <m/>
  </r>
  <r>
    <s v="UCvBYTqRx-n_8KzFO0MJlUVw"/>
    <s v="UCLDJUM2GR2JWkszd0bBwPjg"/>
    <m/>
    <m/>
    <m/>
    <m/>
    <m/>
    <m/>
    <m/>
    <m/>
    <s v="Yes"/>
    <n v="131"/>
    <m/>
    <m/>
    <s v="Replied Comment"/>
    <s v="Reply"/>
    <s v="Thank you"/>
    <s v="UCvBYTqRx-n_8KzFO0MJlUVw"/>
    <s v="Reza Dorrani"/>
    <s v="http://www.youtube.com/channel/UCvBYTqRx-n_8KzFO0MJlUVw"/>
    <s v="UgwSY_tPKScRVtheQoh4AaABAg"/>
    <s v="NTUfX9HNdK0"/>
    <s v="https://www.youtube.com/watch?v=NTUfX9HNdK0"/>
    <s v="none"/>
    <n v="1"/>
    <x v="128"/>
    <d v="2020-06-18T06:49:16.000"/>
    <m/>
    <m/>
    <m/>
    <n v="1"/>
    <s v="10"/>
    <s v="10"/>
    <m/>
    <m/>
    <m/>
    <m/>
    <m/>
    <m/>
    <m/>
    <m/>
    <m/>
  </r>
  <r>
    <s v="UCLDJUM2GR2JWkszd0bBwPjg"/>
    <s v="UCvBYTqRx-n_8KzFO0MJlUVw"/>
    <m/>
    <m/>
    <m/>
    <m/>
    <m/>
    <m/>
    <m/>
    <m/>
    <s v="Yes"/>
    <n v="132"/>
    <m/>
    <m/>
    <s v="Commented Video"/>
    <s v="Comment"/>
    <s v="Reza, you&amp;#39;re the best! Excellent demo! I think this integration is really awesome and it&amp;#39;s a game-changer.  &lt;br /&gt;Using Power BI as the main tool along with Power Apps integration only to perform CRUD, our apps are going to be much more analytical focused because Power BI is really powerful to perform complex calculations and build awesome data-driven visualizations...."/>
    <s v="UCLDJUM2GR2JWkszd0bBwPjg"/>
    <s v="Daniel A. D Amico"/>
    <s v="http://www.youtube.com/channel/UCLDJUM2GR2JWkszd0bBwPjg"/>
    <m/>
    <s v="NTUfX9HNdK0"/>
    <s v="https://www.youtube.com/watch?v=NTUfX9HNdK0"/>
    <s v="none"/>
    <n v="1"/>
    <x v="129"/>
    <d v="2020-06-17T22:00:48.000"/>
    <m/>
    <m/>
    <m/>
    <n v="1"/>
    <s v="10"/>
    <s v="10"/>
    <m/>
    <m/>
    <m/>
    <m/>
    <m/>
    <m/>
    <m/>
    <m/>
    <m/>
  </r>
  <r>
    <s v="UCvBYTqRx-n_8KzFO0MJlUVw"/>
    <s v="UCScJvW7xrPOLjE3rfXLrmuQ"/>
    <m/>
    <m/>
    <m/>
    <m/>
    <m/>
    <m/>
    <m/>
    <m/>
    <s v="Yes"/>
    <n v="133"/>
    <m/>
    <m/>
    <s v="Replied Comment"/>
    <s v="Reply"/>
    <s v="CDS requires Power Apps premium licensing ( so does SQL ). Every user accessing the Power App would need the premium license. &lt;br /&gt;&lt;br /&gt;Also, for the PBI PA CDS combination, the user would also need a Power bi license"/>
    <s v="UCvBYTqRx-n_8KzFO0MJlUVw"/>
    <s v="Reza Dorrani"/>
    <s v="http://www.youtube.com/channel/UCvBYTqRx-n_8KzFO0MJlUVw"/>
    <s v="UgwJuOzyge-xnNtp8mV4AaABAg"/>
    <s v="NTUfX9HNdK0"/>
    <s v="https://www.youtube.com/watch?v=NTUfX9HNdK0"/>
    <s v="none"/>
    <n v="0"/>
    <x v="130"/>
    <d v="2020-06-18T17:36:06.000"/>
    <m/>
    <m/>
    <m/>
    <n v="3"/>
    <s v="10"/>
    <s v="10"/>
    <m/>
    <m/>
    <m/>
    <m/>
    <m/>
    <m/>
    <m/>
    <m/>
    <m/>
  </r>
  <r>
    <s v="UCScJvW7xrPOLjE3rfXLrmuQ"/>
    <s v="UCScJvW7xrPOLjE3rfXLrmuQ"/>
    <m/>
    <m/>
    <m/>
    <m/>
    <m/>
    <m/>
    <m/>
    <m/>
    <s v="No"/>
    <n v="134"/>
    <m/>
    <m/>
    <s v="Replied Comment"/>
    <s v="Reply"/>
    <s v="@Reza Dorrani What PBI license will suffice? free/pro/premium?"/>
    <s v="UCScJvW7xrPOLjE3rfXLrmuQ"/>
    <s v="Avinoam Rothenberg"/>
    <s v="http://www.youtube.com/channel/UCScJvW7xrPOLjE3rfXLrmuQ"/>
    <s v="UgwJuOzyge-xnNtp8mV4AaABAg"/>
    <s v="NTUfX9HNdK0"/>
    <s v="https://www.youtube.com/watch?v=NTUfX9HNdK0"/>
    <s v="none"/>
    <n v="0"/>
    <x v="131"/>
    <d v="2020-06-18T17:51:52.000"/>
    <m/>
    <m/>
    <m/>
    <n v="1"/>
    <s v="10"/>
    <s v="10"/>
    <m/>
    <m/>
    <m/>
    <m/>
    <m/>
    <m/>
    <m/>
    <m/>
    <m/>
  </r>
  <r>
    <s v="UCScJvW7xrPOLjE3rfXLrmuQ"/>
    <s v="UCvBYTqRx-n_8KzFO0MJlUVw"/>
    <m/>
    <m/>
    <m/>
    <m/>
    <m/>
    <m/>
    <m/>
    <m/>
    <s v="Yes"/>
    <n v="135"/>
    <m/>
    <m/>
    <s v="Commented Video"/>
    <s v="Comment"/>
    <s v="Raza, you&amp;#39;re the MAN 😎&lt;br /&gt;So, it seems that for heavy duty PowerBI querying the real answer is CDS (or SQL server, which I believe in the long run will have less and less use of).&lt;br /&gt;My query is, what type of PA license do I need to achieve this PowerBI-CDS-PA integration? will a Microsoft 365 be enough? or do I need one of the standalone plans (per user/per app)?"/>
    <s v="UCScJvW7xrPOLjE3rfXLrmuQ"/>
    <s v="Avinoam Rothenberg"/>
    <s v="http://www.youtube.com/channel/UCScJvW7xrPOLjE3rfXLrmuQ"/>
    <m/>
    <s v="NTUfX9HNdK0"/>
    <s v="https://www.youtube.com/watch?v=NTUfX9HNdK0"/>
    <s v="none"/>
    <n v="1"/>
    <x v="132"/>
    <d v="2020-06-18T10:17:04.000"/>
    <m/>
    <m/>
    <m/>
    <n v="3"/>
    <s v="10"/>
    <s v="10"/>
    <m/>
    <m/>
    <m/>
    <m/>
    <m/>
    <m/>
    <m/>
    <m/>
    <m/>
  </r>
  <r>
    <s v="UCvBYTqRx-n_8KzFO0MJlUVw"/>
    <s v="UCScJvW7xrPOLjE3rfXLrmuQ"/>
    <m/>
    <m/>
    <m/>
    <m/>
    <m/>
    <m/>
    <m/>
    <m/>
    <s v="Yes"/>
    <n v="136"/>
    <m/>
    <m/>
    <s v="Replied Comment"/>
    <s v="Reply"/>
    <s v=":)"/>
    <s v="UCvBYTqRx-n_8KzFO0MJlUVw"/>
    <s v="Reza Dorrani"/>
    <s v="http://www.youtube.com/channel/UCvBYTqRx-n_8KzFO0MJlUVw"/>
    <s v="UgzYyG_T0IE_NaOdgbR4AaABAg"/>
    <s v="NTUfX9HNdK0"/>
    <s v="https://www.youtube.com/watch?v=NTUfX9HNdK0"/>
    <s v="none"/>
    <n v="0"/>
    <x v="133"/>
    <d v="2020-06-18T17:34:00.000"/>
    <m/>
    <m/>
    <m/>
    <n v="3"/>
    <s v="10"/>
    <s v="10"/>
    <m/>
    <m/>
    <m/>
    <m/>
    <m/>
    <m/>
    <m/>
    <m/>
    <m/>
  </r>
  <r>
    <s v="UCScJvW7xrPOLjE3rfXLrmuQ"/>
    <s v="UCvBYTqRx-n_8KzFO0MJlUVw"/>
    <m/>
    <m/>
    <m/>
    <m/>
    <m/>
    <m/>
    <m/>
    <m/>
    <s v="Yes"/>
    <n v="137"/>
    <m/>
    <m/>
    <s v="Commented Video"/>
    <s v="Comment"/>
    <s v="Sorry for misspelling your name. It&amp;#39;s REZA of course 😖"/>
    <s v="UCScJvW7xrPOLjE3rfXLrmuQ"/>
    <s v="Avinoam Rothenberg"/>
    <s v="http://www.youtube.com/channel/UCScJvW7xrPOLjE3rfXLrmuQ"/>
    <m/>
    <s v="NTUfX9HNdK0"/>
    <s v="https://www.youtube.com/watch?v=NTUfX9HNdK0"/>
    <s v="none"/>
    <n v="0"/>
    <x v="134"/>
    <d v="2020-06-18T10:21:36.000"/>
    <m/>
    <m/>
    <m/>
    <n v="3"/>
    <s v="10"/>
    <s v="10"/>
    <m/>
    <m/>
    <m/>
    <m/>
    <m/>
    <m/>
    <m/>
    <m/>
    <m/>
  </r>
  <r>
    <s v="UCvBYTqRx-n_8KzFO0MJlUVw"/>
    <s v="UCScJvW7xrPOLjE3rfXLrmuQ"/>
    <m/>
    <m/>
    <m/>
    <m/>
    <m/>
    <m/>
    <m/>
    <m/>
    <s v="Yes"/>
    <n v="138"/>
    <m/>
    <m/>
    <s v="Replied Comment"/>
    <s v="Reply"/>
    <s v="Hi Avinoam,&lt;br /&gt;&lt;br /&gt;The editing and adding data does indeed take place directly in the CDS entity. In the video within the Power App I do connect to CDS and then use the form control to submit data.&lt;br /&gt;&lt;br /&gt;In this video I leverage CDS as a data source. However the same concept works with any other data source - Sql, SharePoint etc."/>
    <s v="UCvBYTqRx-n_8KzFO0MJlUVw"/>
    <s v="Reza Dorrani"/>
    <s v="http://www.youtube.com/channel/UCvBYTqRx-n_8KzFO0MJlUVw"/>
    <s v="UgwT8WvvVRhfPRF1hJ94AaABAg"/>
    <s v="NTUfX9HNdK0"/>
    <s v="https://www.youtube.com/watch?v=NTUfX9HNdK0"/>
    <s v="none"/>
    <n v="1"/>
    <x v="135"/>
    <d v="2020-06-18T17:33:25.000"/>
    <m/>
    <m/>
    <m/>
    <n v="3"/>
    <s v="10"/>
    <s v="10"/>
    <m/>
    <m/>
    <m/>
    <m/>
    <m/>
    <m/>
    <m/>
    <m/>
    <m/>
  </r>
  <r>
    <s v="UCScJvW7xrPOLjE3rfXLrmuQ"/>
    <s v="UCvBYTqRx-n_8KzFO0MJlUVw"/>
    <m/>
    <m/>
    <m/>
    <m/>
    <m/>
    <m/>
    <m/>
    <m/>
    <s v="Yes"/>
    <n v="139"/>
    <m/>
    <m/>
    <s v="Commented Video"/>
    <s v="Comment"/>
    <s v="BTW Reza,&lt;br /&gt;I didn&amp;#39;t get it, regarding the CDS integration here.&lt;br /&gt;Does editing or adding data with the PA app actually update the data in the CDS entity?"/>
    <s v="UCScJvW7xrPOLjE3rfXLrmuQ"/>
    <s v="Avinoam Rothenberg"/>
    <s v="http://www.youtube.com/channel/UCScJvW7xrPOLjE3rfXLrmuQ"/>
    <m/>
    <s v="NTUfX9HNdK0"/>
    <s v="https://www.youtube.com/watch?v=NTUfX9HNdK0"/>
    <s v="none"/>
    <n v="0"/>
    <x v="136"/>
    <d v="2020-06-18T10:37:33.000"/>
    <m/>
    <m/>
    <m/>
    <n v="3"/>
    <s v="10"/>
    <s v="10"/>
    <m/>
    <m/>
    <m/>
    <m/>
    <m/>
    <m/>
    <m/>
    <m/>
    <m/>
  </r>
  <r>
    <s v="UCvBYTqRx-n_8KzFO0MJlUVw"/>
    <s v="UCuDgHPZiYSujLqwF3dz4BNw"/>
    <m/>
    <m/>
    <m/>
    <m/>
    <m/>
    <m/>
    <m/>
    <m/>
    <s v="Yes"/>
    <n v="140"/>
    <m/>
    <m/>
    <s v="Replied Comment"/>
    <s v="Reply"/>
    <s v="Thank you for watching"/>
    <s v="UCvBYTqRx-n_8KzFO0MJlUVw"/>
    <s v="Reza Dorrani"/>
    <s v="http://www.youtube.com/channel/UCvBYTqRx-n_8KzFO0MJlUVw"/>
    <s v="UgzAEg2tLxX1bQ7ShHd4AaABAg"/>
    <s v="NTUfX9HNdK0"/>
    <s v="https://www.youtube.com/watch?v=NTUfX9HNdK0"/>
    <s v="none"/>
    <n v="0"/>
    <x v="137"/>
    <d v="2020-06-18T18:55:02.000"/>
    <m/>
    <m/>
    <m/>
    <n v="1"/>
    <s v="10"/>
    <s v="10"/>
    <m/>
    <m/>
    <m/>
    <m/>
    <m/>
    <m/>
    <m/>
    <m/>
    <m/>
  </r>
  <r>
    <s v="UCuDgHPZiYSujLqwF3dz4BNw"/>
    <s v="UCvBYTqRx-n_8KzFO0MJlUVw"/>
    <m/>
    <m/>
    <m/>
    <m/>
    <m/>
    <m/>
    <m/>
    <m/>
    <s v="Yes"/>
    <n v="141"/>
    <m/>
    <m/>
    <s v="Commented Video"/>
    <s v="Comment"/>
    <s v="Thank you"/>
    <s v="UCuDgHPZiYSujLqwF3dz4BNw"/>
    <s v="Sundra Pillay"/>
    <s v="http://www.youtube.com/channel/UCuDgHPZiYSujLqwF3dz4BNw"/>
    <m/>
    <s v="NTUfX9HNdK0"/>
    <s v="https://www.youtube.com/watch?v=NTUfX9HNdK0"/>
    <s v="none"/>
    <n v="1"/>
    <x v="138"/>
    <d v="2020-06-18T18:05:38.000"/>
    <m/>
    <m/>
    <m/>
    <n v="1"/>
    <s v="10"/>
    <s v="10"/>
    <m/>
    <m/>
    <m/>
    <m/>
    <m/>
    <m/>
    <m/>
    <m/>
    <m/>
  </r>
  <r>
    <s v="UCvBYTqRx-n_8KzFO0MJlUVw"/>
    <s v="UC2v4TcvO4rdDdfqd6rUR5yg"/>
    <m/>
    <m/>
    <m/>
    <m/>
    <m/>
    <m/>
    <m/>
    <m/>
    <s v="Yes"/>
    <n v="142"/>
    <m/>
    <m/>
    <s v="Replied Comment"/>
    <s v="Reply"/>
    <s v="Thank you Dan. Great point!"/>
    <s v="UCvBYTqRx-n_8KzFO0MJlUVw"/>
    <s v="Reza Dorrani"/>
    <s v="http://www.youtube.com/channel/UCvBYTqRx-n_8KzFO0MJlUVw"/>
    <s v="UgxK3fQ4mJxnVStM9W14AaABAg"/>
    <s v="NTUfX9HNdK0"/>
    <s v="https://www.youtube.com/watch?v=NTUfX9HNdK0"/>
    <s v="none"/>
    <n v="0"/>
    <x v="139"/>
    <d v="2020-06-18T06:49:41.000"/>
    <m/>
    <m/>
    <m/>
    <n v="1"/>
    <s v="10"/>
    <s v="10"/>
    <m/>
    <m/>
    <m/>
    <m/>
    <m/>
    <m/>
    <m/>
    <m/>
    <m/>
  </r>
  <r>
    <s v="UC2v4TcvO4rdDdfqd6rUR5yg"/>
    <s v="UCvBYTqRx-n_8KzFO0MJlUVw"/>
    <m/>
    <m/>
    <m/>
    <m/>
    <m/>
    <m/>
    <m/>
    <m/>
    <s v="Yes"/>
    <n v="143"/>
    <m/>
    <m/>
    <s v="Commented Video"/>
    <s v="Comment"/>
    <s v="Well done, Reza!&lt;br /&gt;I like how you&amp;#39;ve used CDS entity to demonstrate the deep-integration between Power Apps and Power BI. I&amp;#39;m also glad you pointed out that SharePoint isn&amp;#39;t a Direct Query data source, however, you can use Power Automate flow to refresh the Power BI report."/>
    <s v="UC2v4TcvO4rdDdfqd6rUR5yg"/>
    <s v="Daniel Christian"/>
    <s v="http://www.youtube.com/channel/UC2v4TcvO4rdDdfqd6rUR5yg"/>
    <m/>
    <s v="NTUfX9HNdK0"/>
    <s v="https://www.youtube.com/watch?v=NTUfX9HNdK0"/>
    <s v="none"/>
    <n v="3"/>
    <x v="140"/>
    <d v="2020-06-17T21:15:22.000"/>
    <m/>
    <m/>
    <m/>
    <n v="1"/>
    <s v="10"/>
    <s v="10"/>
    <m/>
    <m/>
    <m/>
    <m/>
    <m/>
    <m/>
    <m/>
    <m/>
    <m/>
  </r>
  <r>
    <s v="UChonIc52GnJLRxshFjUxrGA"/>
    <s v="UChonIc52GnJLRxshFjUxrGA"/>
    <m/>
    <m/>
    <m/>
    <m/>
    <m/>
    <m/>
    <m/>
    <m/>
    <s v="No"/>
    <n v="144"/>
    <m/>
    <m/>
    <s v="Replied Comment"/>
    <s v="Reply"/>
    <s v="😱 Accede al CURSO de POWER BI en ESPAÑOL 📊📈_x000d_ 👉👉  &lt;a href=&quot;https://bit.ly/35weflW&quot;&gt;https://bit.ly/35weflW_x000d_&lt;/a&gt;&lt;br /&gt;_x000d_&lt;br /&gt;SUSCRIBITE al CANAL 👉👉 &lt;a href=&quot;https://bit.ly/2mkyaDj&quot;&gt;https://bit.ly/2mkyaDj&lt;/a&gt;"/>
    <s v="UChonIc52GnJLRxshFjUxrGA"/>
    <s v="Aprende y Enseña Excel"/>
    <s v="http://www.youtube.com/channel/UChonIc52GnJLRxshFjUxrGA"/>
    <s v="UgzTx6xkW5Gv7ZtO14N4AaABAg"/>
    <s v="S_uhR0FTxrk"/>
    <s v="https://www.youtube.com/watch?v=S_uhR0FTxrk"/>
    <s v="none"/>
    <n v="1"/>
    <x v="141"/>
    <d v="2020-06-16T03:55:03.000"/>
    <s v=" https://bit.ly/35weflW https://bit.ly/35weflW https://bit.ly/2mkyaDj https://bit.ly/2mkyaDj"/>
    <s v="bit.ly bit.ly bit.ly bit.ly"/>
    <m/>
    <n v="1"/>
    <s v="1"/>
    <s v="1"/>
    <m/>
    <m/>
    <m/>
    <m/>
    <m/>
    <m/>
    <m/>
    <m/>
    <m/>
  </r>
  <r>
    <s v="UChonIc52GnJLRxshFjUxrGA"/>
    <s v="UChonIc52GnJLRxshFjUxrGA"/>
    <m/>
    <m/>
    <m/>
    <m/>
    <m/>
    <m/>
    <m/>
    <m/>
    <s v="No"/>
    <n v="145"/>
    <m/>
    <m/>
    <s v="Commented Video"/>
    <s v="Comment"/>
    <s v="😱👉Que es y para que sirve el LENGUAJE DAX en POWER BI 👉 &lt;a href=&quot;https://cutt.ly/5uxkOlk&quot;&gt;https://cutt.ly/5uxkOlk&lt;/a&gt;&lt;br /&gt;&lt;br /&gt;SUSCRIBITE al CANAL 👉👉 &lt;a href=&quot;https://bit.ly/2mkyaDj&quot;&gt;https://bit.ly/2mkyaDj&lt;/a&gt;"/>
    <s v="UChonIc52GnJLRxshFjUxrGA"/>
    <s v="Aprende y Enseña Excel"/>
    <s v="http://www.youtube.com/channel/UChonIc52GnJLRxshFjUxrGA"/>
    <m/>
    <s v="S_uhR0FTxrk"/>
    <s v="https://www.youtube.com/watch?v=S_uhR0FTxrk"/>
    <s v="none"/>
    <n v="2"/>
    <x v="142"/>
    <d v="2020-06-16T03:54:47.000"/>
    <s v=" https://cutt.ly/5uxkOlk https://cutt.ly/5uxkOlk https://bit.ly/2mkyaDj https://bit.ly/2mkyaDj"/>
    <s v="cutt.ly cutt.ly bit.ly bit.ly"/>
    <m/>
    <n v="1"/>
    <s v="1"/>
    <s v="1"/>
    <m/>
    <m/>
    <m/>
    <m/>
    <m/>
    <m/>
    <m/>
    <m/>
    <m/>
  </r>
  <r>
    <s v="UCRQz5Rc4o6-DpSVjGBHSOcA"/>
    <s v="UC9P2p-pAeQftnsYjscZeLVQ"/>
    <m/>
    <m/>
    <m/>
    <m/>
    <m/>
    <m/>
    <m/>
    <m/>
    <s v="Yes"/>
    <n v="146"/>
    <m/>
    <m/>
    <s v="Replied Comment"/>
    <s v="Reply"/>
    <s v="Manoel, boa noite e muito obrigado pelo seu comentário. Abs Rogério"/>
    <s v="UCRQz5Rc4o6-DpSVjGBHSOcA"/>
    <s v="RFB Sistemas"/>
    <s v="http://www.youtube.com/channel/UCRQz5Rc4o6-DpSVjGBHSOcA"/>
    <s v="UgzV63T2fSYIQ9rStVx4AaABAg"/>
    <s v="ve2WnwKH8qQ"/>
    <s v="https://www.youtube.com/watch?v=ve2WnwKH8qQ"/>
    <s v="none"/>
    <n v="0"/>
    <x v="143"/>
    <d v="2020-06-18T00:28:05.000"/>
    <m/>
    <m/>
    <m/>
    <n v="1"/>
    <s v="21"/>
    <s v="21"/>
    <m/>
    <m/>
    <m/>
    <m/>
    <m/>
    <m/>
    <m/>
    <m/>
    <m/>
  </r>
  <r>
    <s v="UC9P2p-pAeQftnsYjscZeLVQ"/>
    <s v="UCRQz5Rc4o6-DpSVjGBHSOcA"/>
    <m/>
    <m/>
    <m/>
    <m/>
    <m/>
    <m/>
    <m/>
    <m/>
    <s v="Yes"/>
    <n v="147"/>
    <m/>
    <m/>
    <s v="Commented Video"/>
    <s v="Comment"/>
    <s v="Muito TOP !!!! Brigado Rogério !!"/>
    <s v="UC9P2p-pAeQftnsYjscZeLVQ"/>
    <s v="Manoel Carlos De Oliveira Ramos Junior"/>
    <s v="http://www.youtube.com/channel/UC9P2p-pAeQftnsYjscZeLVQ"/>
    <m/>
    <s v="ve2WnwKH8qQ"/>
    <s v="https://www.youtube.com/watch?v=ve2WnwKH8qQ"/>
    <s v="none"/>
    <n v="1"/>
    <x v="144"/>
    <d v="2020-06-17T23:24:05.000"/>
    <m/>
    <m/>
    <m/>
    <n v="1"/>
    <s v="21"/>
    <s v="21"/>
    <m/>
    <m/>
    <m/>
    <m/>
    <m/>
    <m/>
    <m/>
    <m/>
    <m/>
  </r>
  <r>
    <s v="UCRQz5Rc4o6-DpSVjGBHSOcA"/>
    <s v="UC3S9R3RAVMfBQweaX5eBxag"/>
    <m/>
    <m/>
    <m/>
    <m/>
    <m/>
    <m/>
    <m/>
    <m/>
    <s v="Yes"/>
    <n v="148"/>
    <m/>
    <m/>
    <s v="Replied Comment"/>
    <s v="Reply"/>
    <s v="Ester, muito obrigado pelo seu comentário. Abs Rogério"/>
    <s v="UCRQz5Rc4o6-DpSVjGBHSOcA"/>
    <s v="RFB Sistemas"/>
    <s v="http://www.youtube.com/channel/UCRQz5Rc4o6-DpSVjGBHSOcA"/>
    <s v="UgxoWDjI0BhMykPR69N4AaABAg"/>
    <s v="ve2WnwKH8qQ"/>
    <s v="https://www.youtube.com/watch?v=ve2WnwKH8qQ"/>
    <s v="none"/>
    <n v="0"/>
    <x v="145"/>
    <d v="2020-06-19T01:43:18.000"/>
    <m/>
    <m/>
    <m/>
    <n v="1"/>
    <s v="21"/>
    <s v="21"/>
    <m/>
    <m/>
    <m/>
    <m/>
    <m/>
    <m/>
    <m/>
    <m/>
    <m/>
  </r>
  <r>
    <s v="UC3S9R3RAVMfBQweaX5eBxag"/>
    <s v="UCRQz5Rc4o6-DpSVjGBHSOcA"/>
    <m/>
    <m/>
    <m/>
    <m/>
    <m/>
    <m/>
    <m/>
    <m/>
    <s v="Yes"/>
    <n v="149"/>
    <m/>
    <m/>
    <s v="Commented Video"/>
    <s v="Comment"/>
    <s v="Top!!!"/>
    <s v="UC3S9R3RAVMfBQweaX5eBxag"/>
    <s v="Ester Mantoan"/>
    <s v="http://www.youtube.com/channel/UC3S9R3RAVMfBQweaX5eBxag"/>
    <m/>
    <s v="ve2WnwKH8qQ"/>
    <s v="https://www.youtube.com/watch?v=ve2WnwKH8qQ"/>
    <s v="none"/>
    <n v="1"/>
    <x v="146"/>
    <d v="2020-06-19T00:32:53.000"/>
    <m/>
    <m/>
    <m/>
    <n v="1"/>
    <s v="21"/>
    <s v="21"/>
    <m/>
    <m/>
    <m/>
    <m/>
    <m/>
    <m/>
    <m/>
    <m/>
    <m/>
  </r>
  <r>
    <s v="UCAg-ddg4ptqzTP8mu4NlLSA"/>
    <s v="UC5LyETPCxuEaYPmti9mTzuw"/>
    <m/>
    <m/>
    <m/>
    <m/>
    <m/>
    <m/>
    <m/>
    <m/>
    <s v="Yes"/>
    <n v="150"/>
    <m/>
    <m/>
    <s v="Replied Comment"/>
    <s v="Reply"/>
    <s v="Mais prático, rápido e para manipular grandes quantidades de dados.&lt;br /&gt;😉"/>
    <s v="UCAg-ddg4ptqzTP8mu4NlLSA"/>
    <s v="Data Marketing"/>
    <s v="http://www.youtube.com/channel/UCAg-ddg4ptqzTP8mu4NlLSA"/>
    <s v="UgwODASYlqtGZ2wcPBR4AaABAg"/>
    <s v="hSpuKSUQv9s"/>
    <s v="https://www.youtube.com/watch?v=hSpuKSUQv9s"/>
    <s v="none"/>
    <n v="0"/>
    <x v="147"/>
    <d v="2020-06-18T18:53:43.000"/>
    <m/>
    <m/>
    <m/>
    <n v="1"/>
    <s v="16"/>
    <s v="16"/>
    <m/>
    <m/>
    <m/>
    <m/>
    <m/>
    <m/>
    <m/>
    <m/>
    <m/>
  </r>
  <r>
    <s v="UC5LyETPCxuEaYPmti9mTzuw"/>
    <s v="UCAg-ddg4ptqzTP8mu4NlLSA"/>
    <m/>
    <m/>
    <m/>
    <m/>
    <m/>
    <m/>
    <m/>
    <m/>
    <s v="Yes"/>
    <n v="151"/>
    <m/>
    <m/>
    <s v="Commented Video"/>
    <s v="Comment"/>
    <s v="Fala Luan !&lt;br /&gt;Parabéns pelo Vídeo, Muito bem explicado as diferenças, &lt;br /&gt;Power Bi veio deixar mais bonito e mais fácil o que o Excel já fazia"/>
    <s v="UC5LyETPCxuEaYPmti9mTzuw"/>
    <s v="Thiago Sousa"/>
    <s v="http://www.youtube.com/channel/UC5LyETPCxuEaYPmti9mTzuw"/>
    <m/>
    <s v="hSpuKSUQv9s"/>
    <s v="https://www.youtube.com/watch?v=hSpuKSUQv9s"/>
    <s v="none"/>
    <n v="2"/>
    <x v="148"/>
    <d v="2020-06-18T02:43:31.000"/>
    <m/>
    <m/>
    <m/>
    <n v="1"/>
    <s v="16"/>
    <s v="16"/>
    <m/>
    <m/>
    <m/>
    <m/>
    <m/>
    <m/>
    <m/>
    <m/>
    <m/>
  </r>
  <r>
    <s v="UCAg-ddg4ptqzTP8mu4NlLSA"/>
    <s v="UC9RZiT46dtS22LEl-PBEuxg"/>
    <m/>
    <m/>
    <m/>
    <m/>
    <m/>
    <m/>
    <m/>
    <m/>
    <s v="Yes"/>
    <n v="152"/>
    <m/>
    <m/>
    <s v="Replied Comment"/>
    <s v="Reply"/>
    <s v="Obrigado!!!"/>
    <s v="UCAg-ddg4ptqzTP8mu4NlLSA"/>
    <s v="Data Marketing"/>
    <s v="http://www.youtube.com/channel/UCAg-ddg4ptqzTP8mu4NlLSA"/>
    <s v="UgxiLkrxPtzglZ1f00p4AaABAg"/>
    <s v="hSpuKSUQv9s"/>
    <s v="https://www.youtube.com/watch?v=hSpuKSUQv9s"/>
    <s v="none"/>
    <n v="0"/>
    <x v="149"/>
    <d v="2020-06-18T18:52:21.000"/>
    <m/>
    <m/>
    <m/>
    <n v="1"/>
    <s v="16"/>
    <s v="16"/>
    <m/>
    <m/>
    <m/>
    <m/>
    <m/>
    <m/>
    <m/>
    <m/>
    <m/>
  </r>
  <r>
    <s v="UC9RZiT46dtS22LEl-PBEuxg"/>
    <s v="UCAg-ddg4ptqzTP8mu4NlLSA"/>
    <m/>
    <m/>
    <m/>
    <m/>
    <m/>
    <m/>
    <m/>
    <m/>
    <s v="Yes"/>
    <n v="153"/>
    <m/>
    <m/>
    <s v="Commented Video"/>
    <s v="Comment"/>
    <s v="Orgulho define. Boa!!! Power BI éuma excelente ferramenta."/>
    <s v="UC9RZiT46dtS22LEl-PBEuxg"/>
    <s v="Rodrigo Almas"/>
    <s v="http://www.youtube.com/channel/UC9RZiT46dtS22LEl-PBEuxg"/>
    <m/>
    <s v="hSpuKSUQv9s"/>
    <s v="https://www.youtube.com/watch?v=hSpuKSUQv9s"/>
    <s v="none"/>
    <n v="1"/>
    <x v="150"/>
    <d v="2020-06-18T03:09:24.000"/>
    <m/>
    <m/>
    <m/>
    <n v="1"/>
    <s v="16"/>
    <s v="16"/>
    <m/>
    <m/>
    <m/>
    <m/>
    <m/>
    <m/>
    <m/>
    <m/>
    <m/>
  </r>
  <r>
    <s v="UCAg-ddg4ptqzTP8mu4NlLSA"/>
    <s v="UC2szASdBgFczKNTFiKYUCIA"/>
    <m/>
    <m/>
    <m/>
    <m/>
    <m/>
    <m/>
    <m/>
    <m/>
    <s v="Yes"/>
    <n v="154"/>
    <m/>
    <m/>
    <s v="Replied Comment"/>
    <s v="Reply"/>
    <s v="Obrigado Weslly!! Vale muito a pena se aprofundar nessa ferramenta. Aqui no canal tem um vídeo dos primeiros passos. Dá uma conferida 🙃"/>
    <s v="UCAg-ddg4ptqzTP8mu4NlLSA"/>
    <s v="Data Marketing"/>
    <s v="http://www.youtube.com/channel/UCAg-ddg4ptqzTP8mu4NlLSA"/>
    <s v="Ugw8-M1HGgGTPMMUsgp4AaABAg"/>
    <s v="hSpuKSUQv9s"/>
    <s v="https://www.youtube.com/watch?v=hSpuKSUQv9s"/>
    <s v="none"/>
    <n v="1"/>
    <x v="151"/>
    <d v="2020-06-18T19:57:34.000"/>
    <m/>
    <m/>
    <m/>
    <n v="1"/>
    <s v="16"/>
    <s v="16"/>
    <m/>
    <m/>
    <m/>
    <m/>
    <m/>
    <m/>
    <m/>
    <m/>
    <m/>
  </r>
  <r>
    <s v="UC2szASdBgFczKNTFiKYUCIA"/>
    <s v="UCAg-ddg4ptqzTP8mu4NlLSA"/>
    <m/>
    <m/>
    <m/>
    <m/>
    <m/>
    <m/>
    <m/>
    <m/>
    <s v="Yes"/>
    <n v="155"/>
    <m/>
    <m/>
    <s v="Commented Video"/>
    <s v="Comment"/>
    <s v="Nossa que conteúdo de auto valor, com certeza vou da um olhada mais a fundo nessa ferramenta"/>
    <s v="UC2szASdBgFczKNTFiKYUCIA"/>
    <s v="Data &amp; E-commerce - Weslly Silva"/>
    <s v="http://www.youtube.com/channel/UC2szASdBgFczKNTFiKYUCIA"/>
    <m/>
    <s v="hSpuKSUQv9s"/>
    <s v="https://www.youtube.com/watch?v=hSpuKSUQv9s"/>
    <s v="none"/>
    <n v="1"/>
    <x v="152"/>
    <d v="2020-06-18T19:28:55.000"/>
    <m/>
    <m/>
    <m/>
    <n v="1"/>
    <s v="16"/>
    <s v="16"/>
    <m/>
    <m/>
    <m/>
    <m/>
    <m/>
    <m/>
    <m/>
    <m/>
    <m/>
  </r>
  <r>
    <s v="UC2szASdBgFczKNTFiKYUCIA"/>
    <s v="UC2szASdBgFczKNTFiKYUCIA"/>
    <m/>
    <m/>
    <m/>
    <m/>
    <m/>
    <m/>
    <m/>
    <m/>
    <s v="No"/>
    <n v="156"/>
    <m/>
    <m/>
    <s v="Replied Comment"/>
    <s v="Reply"/>
    <s v="@Data Marketing Com certeza vou olhar mano"/>
    <s v="UC2szASdBgFczKNTFiKYUCIA"/>
    <s v="Data &amp; E-commerce - Weslly Silva"/>
    <s v="http://www.youtube.com/channel/UC2szASdBgFczKNTFiKYUCIA"/>
    <s v="Ugw8-M1HGgGTPMMUsgp4AaABAg"/>
    <s v="hSpuKSUQv9s"/>
    <s v="https://www.youtube.com/watch?v=hSpuKSUQv9s"/>
    <s v="none"/>
    <n v="0"/>
    <x v="153"/>
    <d v="2020-06-18T20:14:51.000"/>
    <m/>
    <m/>
    <m/>
    <n v="1"/>
    <s v="16"/>
    <s v="16"/>
    <m/>
    <m/>
    <m/>
    <m/>
    <m/>
    <m/>
    <m/>
    <m/>
    <m/>
  </r>
  <r>
    <s v="UCvlosdhTvUWZ89TcnFHvofg"/>
    <s v="UC2ZbM5tCkoPwS1LezjwBSmw"/>
    <m/>
    <m/>
    <m/>
    <m/>
    <m/>
    <m/>
    <m/>
    <m/>
    <s v="No"/>
    <n v="157"/>
    <m/>
    <m/>
    <s v="Replied Comment"/>
    <s v="Reply"/>
    <s v="Allah blesses all Excel / PowerQuery users"/>
    <s v="UCvlosdhTvUWZ89TcnFHvofg"/>
    <s v="L"/>
    <s v="http://www.youtube.com/channel/UCvlosdhTvUWZ89TcnFHvofg"/>
    <s v="UgzZJifrHzmNXSkIP8R4AaABAg"/>
    <s v="C6vqy30PDnE"/>
    <s v="https://www.youtube.com/watch?v=C6vqy30PDnE"/>
    <s v="none"/>
    <n v="0"/>
    <x v="154"/>
    <d v="2020-06-19T02:50:09.000"/>
    <m/>
    <m/>
    <m/>
    <n v="1"/>
    <s v="4"/>
    <s v="4"/>
    <m/>
    <m/>
    <m/>
    <m/>
    <m/>
    <m/>
    <m/>
    <m/>
    <m/>
  </r>
  <r>
    <s v="UC2ZbM5tCkoPwS1LezjwBSmw"/>
    <s v="UCSxX7Vgyu9iThxPE1jSDFdw"/>
    <m/>
    <m/>
    <m/>
    <m/>
    <m/>
    <m/>
    <m/>
    <m/>
    <s v="No"/>
    <n v="158"/>
    <m/>
    <m/>
    <s v="Commented Video"/>
    <s v="Comment"/>
    <s v="May ALLAH Bless you Sir,&lt;br /&gt;Thanks so much"/>
    <s v="UC2ZbM5tCkoPwS1LezjwBSmw"/>
    <s v="Syed Mukram"/>
    <s v="http://www.youtube.com/channel/UC2ZbM5tCkoPwS1LezjwBSmw"/>
    <m/>
    <s v="C6vqy30PDnE"/>
    <s v="https://www.youtube.com/watch?v=C6vqy30PDnE"/>
    <s v="none"/>
    <n v="5"/>
    <x v="155"/>
    <d v="2020-06-18T13:35:33.000"/>
    <m/>
    <m/>
    <m/>
    <n v="1"/>
    <s v="4"/>
    <s v="4"/>
    <m/>
    <m/>
    <m/>
    <m/>
    <m/>
    <m/>
    <m/>
    <m/>
    <m/>
  </r>
  <r>
    <s v="UC05MrtGm6lSEgw7U-oZu3DQ"/>
    <s v="UCO_FTEu2uUhHWtga98GFnbg"/>
    <m/>
    <m/>
    <m/>
    <m/>
    <m/>
    <m/>
    <m/>
    <m/>
    <s v="No"/>
    <n v="159"/>
    <m/>
    <m/>
    <s v="Replied Comment"/>
    <s v="Reply"/>
    <s v="Nor me"/>
    <s v="UC05MrtGm6lSEgw7U-oZu3DQ"/>
    <s v="Angela &amp; Roger Burtenshaw"/>
    <s v="http://www.youtube.com/channel/UC05MrtGm6lSEgw7U-oZu3DQ"/>
    <s v="UgwtbfvH_u94h8QUmVV4AaABAg"/>
    <s v="C6vqy30PDnE"/>
    <s v="https://www.youtube.com/watch?v=C6vqy30PDnE"/>
    <s v="none"/>
    <n v="0"/>
    <x v="156"/>
    <d v="2020-06-18T14:22:34.000"/>
    <m/>
    <m/>
    <m/>
    <n v="1"/>
    <s v="4"/>
    <s v="4"/>
    <m/>
    <m/>
    <m/>
    <m/>
    <m/>
    <m/>
    <m/>
    <m/>
    <m/>
  </r>
  <r>
    <s v="UCSxX7Vgyu9iThxPE1jSDFdw"/>
    <s v="UCO_FTEu2uUhHWtga98GFnbg"/>
    <m/>
    <m/>
    <m/>
    <m/>
    <m/>
    <m/>
    <m/>
    <m/>
    <s v="Yes"/>
    <n v="160"/>
    <m/>
    <m/>
    <s v="Replied Comment"/>
    <s v="Reply"/>
    <s v="It&amp;#39;s currently available on the Beta Channel for Microsoft/Office 365 and will be rolling out to other channels in the coming months."/>
    <s v="UCSxX7Vgyu9iThxPE1jSDFdw"/>
    <s v="Excel Campus - Jon"/>
    <s v="http://www.youtube.com/channel/UCSxX7Vgyu9iThxPE1jSDFdw"/>
    <s v="UgwtbfvH_u94h8QUmVV4AaABAg"/>
    <s v="C6vqy30PDnE"/>
    <s v="https://www.youtube.com/watch?v=C6vqy30PDnE"/>
    <s v="none"/>
    <n v="1"/>
    <x v="157"/>
    <d v="2020-06-18T17:37:14.000"/>
    <m/>
    <m/>
    <m/>
    <n v="1"/>
    <s v="4"/>
    <s v="4"/>
    <m/>
    <m/>
    <m/>
    <m/>
    <m/>
    <m/>
    <m/>
    <m/>
    <m/>
  </r>
  <r>
    <s v="UCO_FTEu2uUhHWtga98GFnbg"/>
    <s v="UCSxX7Vgyu9iThxPE1jSDFdw"/>
    <m/>
    <m/>
    <m/>
    <m/>
    <m/>
    <m/>
    <m/>
    <m/>
    <s v="Yes"/>
    <n v="161"/>
    <m/>
    <m/>
    <s v="Commented Video"/>
    <s v="Comment"/>
    <s v="not getting the option to get data from PDF"/>
    <s v="UCO_FTEu2uUhHWtga98GFnbg"/>
    <s v="AHM Kowser"/>
    <s v="http://www.youtube.com/channel/UCO_FTEu2uUhHWtga98GFnbg"/>
    <m/>
    <s v="C6vqy30PDnE"/>
    <s v="https://www.youtube.com/watch?v=C6vqy30PDnE"/>
    <s v="none"/>
    <n v="0"/>
    <x v="158"/>
    <d v="2020-06-18T13:54:55.000"/>
    <m/>
    <m/>
    <m/>
    <n v="1"/>
    <s v="4"/>
    <s v="4"/>
    <m/>
    <m/>
    <m/>
    <m/>
    <m/>
    <m/>
    <m/>
    <m/>
    <m/>
  </r>
  <r>
    <s v="UCSxX7Vgyu9iThxPE1jSDFdw"/>
    <s v="UCBO0DGXXeS7TTpvsOJ2VMKA"/>
    <m/>
    <m/>
    <m/>
    <m/>
    <m/>
    <m/>
    <m/>
    <m/>
    <s v="Yes"/>
    <n v="162"/>
    <m/>
    <m/>
    <s v="Replied Comment"/>
    <s v="Reply"/>
    <s v="Hi Hendrik,&lt;br /&gt;The From PDF option is currently available on the Beta Channel for Microsoft/Office 365 subscribers and will be rolling out to other channels in the coming months."/>
    <s v="UCSxX7Vgyu9iThxPE1jSDFdw"/>
    <s v="Excel Campus - Jon"/>
    <s v="http://www.youtube.com/channel/UCSxX7Vgyu9iThxPE1jSDFdw"/>
    <s v="UgwEnhV6eApxWtug2Ct4AaABAg"/>
    <s v="C6vqy30PDnE"/>
    <s v="https://www.youtube.com/watch?v=C6vqy30PDnE"/>
    <s v="none"/>
    <n v="0"/>
    <x v="159"/>
    <d v="2020-06-18T17:38:01.000"/>
    <m/>
    <m/>
    <m/>
    <n v="1"/>
    <s v="4"/>
    <s v="4"/>
    <m/>
    <m/>
    <m/>
    <m/>
    <m/>
    <m/>
    <m/>
    <m/>
    <m/>
  </r>
  <r>
    <s v="UCBO0DGXXeS7TTpvsOJ2VMKA"/>
    <s v="UCSxX7Vgyu9iThxPE1jSDFdw"/>
    <m/>
    <m/>
    <m/>
    <m/>
    <m/>
    <m/>
    <m/>
    <m/>
    <s v="Yes"/>
    <n v="163"/>
    <m/>
    <m/>
    <s v="Commented Video"/>
    <s v="Comment"/>
    <s v="Also not getting the option for PDF."/>
    <s v="UCBO0DGXXeS7TTpvsOJ2VMKA"/>
    <s v="Hendrik Lategan"/>
    <s v="http://www.youtube.com/channel/UCBO0DGXXeS7TTpvsOJ2VMKA"/>
    <m/>
    <s v="C6vqy30PDnE"/>
    <s v="https://www.youtube.com/watch?v=C6vqy30PDnE"/>
    <s v="none"/>
    <n v="0"/>
    <x v="160"/>
    <d v="2020-06-18T14:30:32.000"/>
    <m/>
    <m/>
    <m/>
    <n v="1"/>
    <s v="4"/>
    <s v="4"/>
    <m/>
    <m/>
    <m/>
    <m/>
    <m/>
    <m/>
    <m/>
    <m/>
    <m/>
  </r>
  <r>
    <s v="UCSxX7Vgyu9iThxPE1jSDFdw"/>
    <s v="UCTvYzVFo4Db-JmPqhJLu1kQ"/>
    <m/>
    <m/>
    <m/>
    <m/>
    <m/>
    <m/>
    <m/>
    <m/>
    <s v="Yes"/>
    <n v="164"/>
    <m/>
    <m/>
    <s v="Replied Comment"/>
    <s v="Reply"/>
    <s v="Hope you enjoy it! 😊"/>
    <s v="UCSxX7Vgyu9iThxPE1jSDFdw"/>
    <s v="Excel Campus - Jon"/>
    <s v="http://www.youtube.com/channel/UCSxX7Vgyu9iThxPE1jSDFdw"/>
    <s v="UgzEXxH3GaJLH7bXNEl4AaABAg"/>
    <s v="C6vqy30PDnE"/>
    <s v="https://www.youtube.com/watch?v=C6vqy30PDnE"/>
    <s v="none"/>
    <n v="0"/>
    <x v="161"/>
    <d v="2020-06-18T14:51:59.000"/>
    <m/>
    <m/>
    <m/>
    <n v="1"/>
    <s v="4"/>
    <s v="4"/>
    <m/>
    <m/>
    <m/>
    <m/>
    <m/>
    <m/>
    <m/>
    <m/>
    <m/>
  </r>
  <r>
    <s v="UCTvYzVFo4Db-JmPqhJLu1kQ"/>
    <s v="UCSxX7Vgyu9iThxPE1jSDFdw"/>
    <m/>
    <m/>
    <m/>
    <m/>
    <m/>
    <m/>
    <m/>
    <m/>
    <s v="Yes"/>
    <n v="165"/>
    <m/>
    <m/>
    <s v="Commented Video"/>
    <s v="Comment"/>
    <s v="Great Tutorial,Looking Forward To Try PDF Imports When It Becomes Available...Thank You Jon :)"/>
    <s v="UCTvYzVFo4Db-JmPqhJLu1kQ"/>
    <s v="darryl morgan"/>
    <s v="http://www.youtube.com/channel/UCTvYzVFo4Db-JmPqhJLu1kQ"/>
    <m/>
    <s v="C6vqy30PDnE"/>
    <s v="https://www.youtube.com/watch?v=C6vqy30PDnE"/>
    <s v="none"/>
    <n v="4"/>
    <x v="162"/>
    <d v="2020-06-18T14:32:59.000"/>
    <m/>
    <m/>
    <m/>
    <n v="1"/>
    <s v="4"/>
    <s v="4"/>
    <m/>
    <m/>
    <m/>
    <m/>
    <m/>
    <m/>
    <m/>
    <m/>
    <m/>
  </r>
  <r>
    <s v="UCSxX7Vgyu9iThxPE1jSDFdw"/>
    <s v="UCowxcCH3G-tgO2fo0pPbKMw"/>
    <m/>
    <m/>
    <m/>
    <m/>
    <m/>
    <m/>
    <m/>
    <m/>
    <s v="Yes"/>
    <n v="166"/>
    <m/>
    <m/>
    <s v="Replied Comment"/>
    <s v="Reply"/>
    <s v="I don&amp;#39;t have an ETA but hoping it&amp;#39;s soon too!"/>
    <s v="UCSxX7Vgyu9iThxPE1jSDFdw"/>
    <s v="Excel Campus - Jon"/>
    <s v="http://www.youtube.com/channel/UCSxX7Vgyu9iThxPE1jSDFdw"/>
    <s v="Ugxa0iFAzd6MzyR2FJh4AaABAg"/>
    <s v="C6vqy30PDnE"/>
    <s v="https://www.youtube.com/watch?v=C6vqy30PDnE"/>
    <s v="none"/>
    <n v="0"/>
    <x v="163"/>
    <d v="2020-06-18T17:38:45.000"/>
    <m/>
    <m/>
    <m/>
    <n v="1"/>
    <s v="4"/>
    <s v="4"/>
    <m/>
    <m/>
    <m/>
    <m/>
    <m/>
    <m/>
    <m/>
    <m/>
    <m/>
  </r>
  <r>
    <s v="UCowxcCH3G-tgO2fo0pPbKMw"/>
    <s v="UCSxX7Vgyu9iThxPE1jSDFdw"/>
    <m/>
    <m/>
    <m/>
    <m/>
    <m/>
    <m/>
    <m/>
    <m/>
    <s v="Yes"/>
    <n v="167"/>
    <m/>
    <m/>
    <s v="Commented Video"/>
    <s v="Comment"/>
    <s v="how long do you think it will take for this to get out of beta? this is a long awaited feature!"/>
    <s v="UCowxcCH3G-tgO2fo0pPbKMw"/>
    <s v="lonku"/>
    <s v="http://www.youtube.com/channel/UCowxcCH3G-tgO2fo0pPbKMw"/>
    <m/>
    <s v="C6vqy30PDnE"/>
    <s v="https://www.youtube.com/watch?v=C6vqy30PDnE"/>
    <s v="none"/>
    <n v="2"/>
    <x v="164"/>
    <d v="2020-06-18T15:00:56.000"/>
    <m/>
    <m/>
    <m/>
    <n v="1"/>
    <s v="4"/>
    <s v="4"/>
    <m/>
    <m/>
    <m/>
    <m/>
    <m/>
    <m/>
    <m/>
    <m/>
    <m/>
  </r>
  <r>
    <s v="UCSxX7Vgyu9iThxPE1jSDFdw"/>
    <s v="UCYIZyVsh8xah1oFsr5_SBSA"/>
    <m/>
    <m/>
    <m/>
    <m/>
    <m/>
    <m/>
    <m/>
    <m/>
    <s v="Yes"/>
    <n v="168"/>
    <m/>
    <m/>
    <s v="Replied Comment"/>
    <s v="Reply"/>
    <s v="Thanks Rahul! 🙂"/>
    <s v="UCSxX7Vgyu9iThxPE1jSDFdw"/>
    <s v="Excel Campus - Jon"/>
    <s v="http://www.youtube.com/channel/UCSxX7Vgyu9iThxPE1jSDFdw"/>
    <s v="Ugw8KyhB0_jFb6aI_5F4AaABAg"/>
    <s v="C6vqy30PDnE"/>
    <s v="https://www.youtube.com/watch?v=C6vqy30PDnE"/>
    <s v="none"/>
    <n v="0"/>
    <x v="165"/>
    <d v="2020-06-18T17:39:00.000"/>
    <m/>
    <m/>
    <m/>
    <n v="1"/>
    <s v="4"/>
    <s v="4"/>
    <m/>
    <m/>
    <m/>
    <m/>
    <m/>
    <m/>
    <m/>
    <m/>
    <m/>
  </r>
  <r>
    <s v="UCYIZyVsh8xah1oFsr5_SBSA"/>
    <s v="UCYIZyVsh8xah1oFsr5_SBSA"/>
    <m/>
    <m/>
    <m/>
    <m/>
    <m/>
    <m/>
    <m/>
    <m/>
    <s v="No"/>
    <n v="169"/>
    <m/>
    <m/>
    <s v="Replied Comment"/>
    <s v="Reply"/>
    <s v="@Excel Campus - Jon sir my excel not showing explore PDF"/>
    <s v="UCYIZyVsh8xah1oFsr5_SBSA"/>
    <s v="rahul sharma"/>
    <s v="http://www.youtube.com/channel/UCYIZyVsh8xah1oFsr5_SBSA"/>
    <s v="Ugw8KyhB0_jFb6aI_5F4AaABAg"/>
    <s v="C6vqy30PDnE"/>
    <s v="https://www.youtube.com/watch?v=C6vqy30PDnE"/>
    <s v="none"/>
    <n v="0"/>
    <x v="166"/>
    <d v="2020-06-18T18:32:16.000"/>
    <m/>
    <m/>
    <m/>
    <n v="1"/>
    <s v="4"/>
    <s v="4"/>
    <m/>
    <m/>
    <m/>
    <m/>
    <m/>
    <m/>
    <m/>
    <m/>
    <m/>
  </r>
  <r>
    <s v="UCYIZyVsh8xah1oFsr5_SBSA"/>
    <s v="UCSxX7Vgyu9iThxPE1jSDFdw"/>
    <m/>
    <m/>
    <m/>
    <m/>
    <m/>
    <m/>
    <m/>
    <m/>
    <s v="Yes"/>
    <n v="170"/>
    <m/>
    <m/>
    <s v="Commented Video"/>
    <s v="Comment"/>
    <s v="Really thank u sir."/>
    <s v="UCYIZyVsh8xah1oFsr5_SBSA"/>
    <s v="rahul sharma"/>
    <s v="http://www.youtube.com/channel/UCYIZyVsh8xah1oFsr5_SBSA"/>
    <m/>
    <s v="C6vqy30PDnE"/>
    <s v="https://www.youtube.com/watch?v=C6vqy30PDnE"/>
    <s v="none"/>
    <n v="1"/>
    <x v="167"/>
    <d v="2020-06-18T16:14:41.000"/>
    <m/>
    <m/>
    <m/>
    <n v="1"/>
    <s v="4"/>
    <s v="4"/>
    <m/>
    <m/>
    <m/>
    <m/>
    <m/>
    <m/>
    <m/>
    <m/>
    <m/>
  </r>
  <r>
    <s v="UCSxX7Vgyu9iThxPE1jSDFdw"/>
    <s v="UCdbbW2_4oxgjMOmJDAuTVCQ"/>
    <m/>
    <m/>
    <m/>
    <m/>
    <m/>
    <m/>
    <m/>
    <m/>
    <s v="Yes"/>
    <n v="171"/>
    <m/>
    <m/>
    <s v="Replied Comment"/>
    <s v="Reply"/>
    <s v="Hey Kurt,&lt;br /&gt;Great question!  I don&amp;#39;t believe the PDF feature supports password protected files yet.  You would need to unprotect the file and save it without the password before importing.  I tried to import a password protected PDF but got an error message.  Hopefully they will make it possible to input the password in the future.&lt;br /&gt;&lt;br /&gt;Thanks again and have a nice day! 🙂"/>
    <s v="UCSxX7Vgyu9iThxPE1jSDFdw"/>
    <s v="Excel Campus - Jon"/>
    <s v="http://www.youtube.com/channel/UCSxX7Vgyu9iThxPE1jSDFdw"/>
    <s v="UgzgcRrEeNCgZPQra_14AaABAg"/>
    <s v="C6vqy30PDnE"/>
    <s v="https://www.youtube.com/watch?v=C6vqy30PDnE"/>
    <s v="none"/>
    <n v="1"/>
    <x v="168"/>
    <d v="2020-06-18T17:46:57.000"/>
    <m/>
    <m/>
    <m/>
    <n v="1"/>
    <s v="4"/>
    <s v="4"/>
    <m/>
    <m/>
    <m/>
    <m/>
    <m/>
    <m/>
    <m/>
    <m/>
    <m/>
  </r>
  <r>
    <s v="UCdbbW2_4oxgjMOmJDAuTVCQ"/>
    <s v="UCSxX7Vgyu9iThxPE1jSDFdw"/>
    <m/>
    <m/>
    <m/>
    <m/>
    <m/>
    <m/>
    <m/>
    <m/>
    <s v="Yes"/>
    <n v="172"/>
    <m/>
    <m/>
    <s v="Commented Video"/>
    <s v="Comment"/>
    <s v="Greetings John, does the pdf file need to be in a certain format or permission settings? I was told that the pdf files that I wanna import via Excel are not importable because they are locked down."/>
    <s v="UCdbbW2_4oxgjMOmJDAuTVCQ"/>
    <s v="Kurt M"/>
    <s v="http://www.youtube.com/channel/UCdbbW2_4oxgjMOmJDAuTVCQ"/>
    <m/>
    <s v="C6vqy30PDnE"/>
    <s v="https://www.youtube.com/watch?v=C6vqy30PDnE"/>
    <s v="none"/>
    <n v="1"/>
    <x v="169"/>
    <d v="2020-06-18T17:12:30.000"/>
    <m/>
    <m/>
    <m/>
    <n v="1"/>
    <s v="4"/>
    <s v="4"/>
    <m/>
    <m/>
    <m/>
    <m/>
    <m/>
    <m/>
    <m/>
    <m/>
    <m/>
  </r>
  <r>
    <s v="UCSxX7Vgyu9iThxPE1jSDFdw"/>
    <s v="UC3gwIQsVzQujAu5GWa6kKCQ"/>
    <m/>
    <m/>
    <m/>
    <m/>
    <m/>
    <m/>
    <m/>
    <m/>
    <s v="Yes"/>
    <n v="173"/>
    <m/>
    <m/>
    <s v="Replied Comment"/>
    <s v="Reply"/>
    <s v="Thanks so much John.  I appreciate your support!  Looking forward to everyone getting their hands on it too. 👍"/>
    <s v="UCSxX7Vgyu9iThxPE1jSDFdw"/>
    <s v="Excel Campus - Jon"/>
    <s v="http://www.youtube.com/channel/UCSxX7Vgyu9iThxPE1jSDFdw"/>
    <s v="Ugyx3Q94d8opzJsi5ed4AaABAg"/>
    <s v="C6vqy30PDnE"/>
    <s v="https://www.youtube.com/watch?v=C6vqy30PDnE"/>
    <s v="none"/>
    <n v="0"/>
    <x v="170"/>
    <d v="2020-06-18T17:47:32.000"/>
    <m/>
    <m/>
    <m/>
    <n v="1"/>
    <s v="4"/>
    <s v="4"/>
    <m/>
    <m/>
    <m/>
    <m/>
    <m/>
    <m/>
    <m/>
    <m/>
    <m/>
  </r>
  <r>
    <s v="UC3gwIQsVzQujAu5GWa6kKCQ"/>
    <s v="UCSxX7Vgyu9iThxPE1jSDFdw"/>
    <m/>
    <m/>
    <m/>
    <m/>
    <m/>
    <m/>
    <m/>
    <m/>
    <s v="Yes"/>
    <n v="174"/>
    <m/>
    <m/>
    <s v="Commented Video"/>
    <s v="Comment"/>
    <s v="Excellent video, Jon, thanks for sharing.  Can&amp;#39;t wait for this functionality!"/>
    <s v="UC3gwIQsVzQujAu5GWa6kKCQ"/>
    <s v="John Monroe"/>
    <s v="http://www.youtube.com/channel/UC3gwIQsVzQujAu5GWa6kKCQ"/>
    <m/>
    <s v="C6vqy30PDnE"/>
    <s v="https://www.youtube.com/watch?v=C6vqy30PDnE"/>
    <s v="none"/>
    <n v="2"/>
    <x v="171"/>
    <d v="2020-06-18T17:32:38.000"/>
    <m/>
    <m/>
    <m/>
    <n v="1"/>
    <s v="4"/>
    <s v="4"/>
    <m/>
    <m/>
    <m/>
    <m/>
    <m/>
    <m/>
    <m/>
    <m/>
    <m/>
  </r>
  <r>
    <s v="UCyi-IKqccpG5QQHqzwzLx_g"/>
    <s v="UCJWk4GGtM3R93hv9zsSaExw"/>
    <m/>
    <m/>
    <m/>
    <m/>
    <m/>
    <m/>
    <m/>
    <m/>
    <s v="Yes"/>
    <n v="175"/>
    <m/>
    <m/>
    <s v="Replied Comment"/>
    <s v="Reply"/>
    <s v="Thank you Jeff!!"/>
    <s v="UCyi-IKqccpG5QQHqzwzLx_g"/>
    <s v="Carl de Souza"/>
    <s v="http://www.youtube.com/channel/UCyi-IKqccpG5QQHqzwzLx_g"/>
    <s v="Ugwmr8BKpsze9wKpvMN4AaABAg"/>
    <s v="lyHqb2T7XAI"/>
    <s v="https://www.youtube.com/watch?v=lyHqb2T7XAI"/>
    <s v="none"/>
    <n v="0"/>
    <x v="172"/>
    <d v="2020-06-18T20:21:23.000"/>
    <m/>
    <m/>
    <m/>
    <n v="1"/>
    <s v="15"/>
    <s v="15"/>
    <m/>
    <m/>
    <m/>
    <m/>
    <m/>
    <m/>
    <m/>
    <m/>
    <m/>
  </r>
  <r>
    <s v="UCJWk4GGtM3R93hv9zsSaExw"/>
    <s v="UCyi-IKqccpG5QQHqzwzLx_g"/>
    <m/>
    <m/>
    <m/>
    <m/>
    <m/>
    <m/>
    <m/>
    <m/>
    <s v="Yes"/>
    <n v="176"/>
    <m/>
    <m/>
    <s v="Commented Video"/>
    <s v="Comment"/>
    <s v="Finally!"/>
    <s v="UCJWk4GGtM3R93hv9zsSaExw"/>
    <s v="Jeffrey Orris"/>
    <s v="http://www.youtube.com/channel/UCJWk4GGtM3R93hv9zsSaExw"/>
    <m/>
    <s v="lyHqb2T7XAI"/>
    <s v="https://www.youtube.com/watch?v=lyHqb2T7XAI"/>
    <s v="none"/>
    <n v="0"/>
    <x v="173"/>
    <d v="2020-06-18T17:09:38.000"/>
    <m/>
    <m/>
    <m/>
    <n v="1"/>
    <s v="15"/>
    <s v="15"/>
    <m/>
    <m/>
    <m/>
    <m/>
    <m/>
    <m/>
    <m/>
    <m/>
    <m/>
  </r>
  <r>
    <s v="UCyi-IKqccpG5QQHqzwzLx_g"/>
    <s v="UCulwrFxBkHWdl7jBH9tCD8w"/>
    <m/>
    <m/>
    <m/>
    <m/>
    <m/>
    <m/>
    <m/>
    <m/>
    <s v="Yes"/>
    <n v="177"/>
    <m/>
    <m/>
    <s v="Replied Comment"/>
    <s v="Reply"/>
    <s v="Thanks Shafiuddin!"/>
    <s v="UCyi-IKqccpG5QQHqzwzLx_g"/>
    <s v="Carl de Souza"/>
    <s v="http://www.youtube.com/channel/UCyi-IKqccpG5QQHqzwzLx_g"/>
    <s v="UgzFaIdqrCB_C4pEEbN4AaABAg"/>
    <s v="lyHqb2T7XAI"/>
    <s v="https://www.youtube.com/watch?v=lyHqb2T7XAI"/>
    <s v="none"/>
    <n v="1"/>
    <x v="174"/>
    <d v="2020-06-18T20:21:11.000"/>
    <m/>
    <m/>
    <m/>
    <n v="1"/>
    <s v="15"/>
    <s v="15"/>
    <m/>
    <m/>
    <m/>
    <m/>
    <m/>
    <m/>
    <m/>
    <m/>
    <m/>
  </r>
  <r>
    <s v="UCulwrFxBkHWdl7jBH9tCD8w"/>
    <s v="UCyi-IKqccpG5QQHqzwzLx_g"/>
    <m/>
    <m/>
    <m/>
    <m/>
    <m/>
    <m/>
    <m/>
    <m/>
    <s v="Yes"/>
    <n v="178"/>
    <m/>
    <m/>
    <s v="Commented Video"/>
    <s v="Comment"/>
    <s v="👌👌👌👌👌Very good explanation  D365 master @carl de souza"/>
    <s v="UCulwrFxBkHWdl7jBH9tCD8w"/>
    <s v="Shafiuddin Mohammed"/>
    <s v="http://www.youtube.com/channel/UCulwrFxBkHWdl7jBH9tCD8w"/>
    <m/>
    <s v="lyHqb2T7XAI"/>
    <s v="https://www.youtube.com/watch?v=lyHqb2T7XAI"/>
    <s v="none"/>
    <n v="0"/>
    <x v="175"/>
    <d v="2020-06-18T19:59:12.000"/>
    <m/>
    <m/>
    <m/>
    <n v="1"/>
    <s v="15"/>
    <s v="15"/>
    <m/>
    <m/>
    <m/>
    <m/>
    <m/>
    <m/>
    <m/>
    <m/>
    <m/>
  </r>
  <r>
    <s v="UCyi-IKqccpG5QQHqzwzLx_g"/>
    <s v="UC_dba-iHCMtq_7-Pk6zscoQ"/>
    <m/>
    <m/>
    <m/>
    <m/>
    <m/>
    <m/>
    <m/>
    <m/>
    <s v="Yes"/>
    <n v="179"/>
    <m/>
    <m/>
    <s v="Replied Comment"/>
    <s v="Reply"/>
    <s v="Thanks so much Igor!"/>
    <s v="UCyi-IKqccpG5QQHqzwzLx_g"/>
    <s v="Carl de Souza"/>
    <s v="http://www.youtube.com/channel/UCyi-IKqccpG5QQHqzwzLx_g"/>
    <s v="Ugwt1pM-ZU_6f_A_VXl4AaABAg"/>
    <s v="lyHqb2T7XAI"/>
    <s v="https://www.youtube.com/watch?v=lyHqb2T7XAI"/>
    <s v="none"/>
    <n v="1"/>
    <x v="176"/>
    <d v="2020-06-19T01:22:37.000"/>
    <m/>
    <m/>
    <m/>
    <n v="1"/>
    <s v="15"/>
    <s v="15"/>
    <m/>
    <m/>
    <m/>
    <m/>
    <m/>
    <m/>
    <m/>
    <m/>
    <m/>
  </r>
  <r>
    <s v="UC_dba-iHCMtq_7-Pk6zscoQ"/>
    <s v="UCyi-IKqccpG5QQHqzwzLx_g"/>
    <m/>
    <m/>
    <m/>
    <m/>
    <m/>
    <m/>
    <m/>
    <m/>
    <s v="Yes"/>
    <n v="180"/>
    <m/>
    <m/>
    <s v="Commented Video"/>
    <s v="Comment"/>
    <s v="As always, lot&amp;#39;s super useful information"/>
    <s v="UC_dba-iHCMtq_7-Pk6zscoQ"/>
    <s v="Igor Shvets"/>
    <s v="http://www.youtube.com/channel/UC_dba-iHCMtq_7-Pk6zscoQ"/>
    <m/>
    <s v="lyHqb2T7XAI"/>
    <s v="https://www.youtube.com/watch?v=lyHqb2T7XAI"/>
    <s v="none"/>
    <n v="0"/>
    <x v="177"/>
    <d v="2020-06-18T23:35:25.000"/>
    <m/>
    <m/>
    <m/>
    <n v="1"/>
    <s v="15"/>
    <s v="15"/>
    <m/>
    <m/>
    <m/>
    <m/>
    <m/>
    <m/>
    <m/>
    <m/>
    <m/>
  </r>
  <r>
    <s v="UCZA_5vGtSpZu86VBDdSnSag"/>
    <s v="UC7ZGuLte3YMg-CMkBsc_R2A"/>
    <m/>
    <m/>
    <m/>
    <m/>
    <m/>
    <m/>
    <m/>
    <m/>
    <s v="Yes"/>
    <n v="181"/>
    <m/>
    <m/>
    <s v="Replied Comment"/>
    <s v="Reply"/>
    <s v="Yes we can use the tooltip now.&lt;br /&gt;Before current update we didn&amp;#39;t have that option to use tooltip.&lt;br /&gt;Will send file today &lt;br /&gt;Thanks stay tune and keep watching."/>
    <s v="UCZA_5vGtSpZu86VBDdSnSag"/>
    <s v="SS UNITECH"/>
    <s v="http://www.youtube.com/channel/UCZA_5vGtSpZu86VBDdSnSag"/>
    <s v="UgwES8Z8nhmRVStrUKV4AaABAg"/>
    <s v="ahkB4Lj7kjA"/>
    <s v="https://www.youtube.com/watch?v=ahkB4Lj7kjA"/>
    <s v="none"/>
    <n v="0"/>
    <x v="178"/>
    <d v="2020-06-19T02:58:32.000"/>
    <m/>
    <m/>
    <m/>
    <n v="2"/>
    <s v="20"/>
    <s v="20"/>
    <m/>
    <m/>
    <m/>
    <m/>
    <m/>
    <m/>
    <m/>
    <m/>
    <m/>
  </r>
  <r>
    <s v="UCZA_5vGtSpZu86VBDdSnSag"/>
    <s v="UC7ZGuLte3YMg-CMkBsc_R2A"/>
    <m/>
    <m/>
    <m/>
    <m/>
    <m/>
    <m/>
    <m/>
    <m/>
    <s v="Yes"/>
    <n v="182"/>
    <m/>
    <m/>
    <s v="Replied Comment"/>
    <s v="Reply"/>
    <s v="Send over email please check"/>
    <s v="UCZA_5vGtSpZu86VBDdSnSag"/>
    <s v="SS UNITECH"/>
    <s v="http://www.youtube.com/channel/UCZA_5vGtSpZu86VBDdSnSag"/>
    <s v="UgwES8Z8nhmRVStrUKV4AaABAg"/>
    <s v="ahkB4Lj7kjA"/>
    <s v="https://www.youtube.com/watch?v=ahkB4Lj7kjA"/>
    <s v="none"/>
    <n v="0"/>
    <x v="179"/>
    <d v="2020-06-20T17:30:45.000"/>
    <m/>
    <m/>
    <m/>
    <n v="2"/>
    <s v="20"/>
    <s v="20"/>
    <m/>
    <m/>
    <m/>
    <m/>
    <m/>
    <m/>
    <m/>
    <m/>
    <m/>
  </r>
  <r>
    <s v="UC7ZGuLte3YMg-CMkBsc_R2A"/>
    <s v="UCZA_5vGtSpZu86VBDdSnSag"/>
    <m/>
    <m/>
    <m/>
    <m/>
    <m/>
    <m/>
    <m/>
    <m/>
    <s v="Yes"/>
    <n v="183"/>
    <m/>
    <m/>
    <s v="Commented Video"/>
    <s v="Comment"/>
    <s v="Can we use tool tip in this visual. Please share the pbix file to mail.rajendranv@&lt;a href=&quot;http://gmail.com/&quot;&gt;gmail.com&lt;/a&gt;"/>
    <s v="UC7ZGuLte3YMg-CMkBsc_R2A"/>
    <s v="RAJENDRAN V"/>
    <s v="http://www.youtube.com/channel/UC7ZGuLte3YMg-CMkBsc_R2A"/>
    <m/>
    <s v="ahkB4Lj7kjA"/>
    <s v="https://www.youtube.com/watch?v=ahkB4Lj7kjA"/>
    <s v="none"/>
    <n v="1"/>
    <x v="180"/>
    <d v="2020-06-18T17:57:38.000"/>
    <s v=" http://gmail.com/"/>
    <s v="gmail.com"/>
    <m/>
    <n v="1"/>
    <s v="20"/>
    <s v="20"/>
    <m/>
    <m/>
    <m/>
    <m/>
    <m/>
    <m/>
    <m/>
    <m/>
    <m/>
  </r>
  <r>
    <s v="UCZA_5vGtSpZu86VBDdSnSag"/>
    <s v="UCXdBdFeLezLwbzJcB_ENyfA"/>
    <m/>
    <m/>
    <m/>
    <m/>
    <m/>
    <m/>
    <m/>
    <m/>
    <s v="Yes"/>
    <n v="184"/>
    <m/>
    <m/>
    <s v="Replied Comment"/>
    <s v="Reply"/>
    <s v="Thanks."/>
    <s v="UCZA_5vGtSpZu86VBDdSnSag"/>
    <s v="SS UNITECH"/>
    <s v="http://www.youtube.com/channel/UCZA_5vGtSpZu86VBDdSnSag"/>
    <s v="Ugxorfj0xSI3MzbiPTF4AaABAg"/>
    <s v="ahkB4Lj7kjA"/>
    <s v="https://www.youtube.com/watch?v=ahkB4Lj7kjA"/>
    <s v="none"/>
    <n v="0"/>
    <x v="181"/>
    <d v="2020-06-20T06:08:24.000"/>
    <m/>
    <m/>
    <m/>
    <n v="1"/>
    <s v="20"/>
    <s v="20"/>
    <m/>
    <m/>
    <m/>
    <m/>
    <m/>
    <m/>
    <m/>
    <m/>
    <m/>
  </r>
  <r>
    <s v="UCXdBdFeLezLwbzJcB_ENyfA"/>
    <s v="UCZA_5vGtSpZu86VBDdSnSag"/>
    <m/>
    <m/>
    <m/>
    <m/>
    <m/>
    <m/>
    <m/>
    <m/>
    <s v="Yes"/>
    <n v="185"/>
    <m/>
    <m/>
    <s v="Commented Video"/>
    <s v="Comment"/>
    <s v="Great video thanks for sharing."/>
    <s v="UCXdBdFeLezLwbzJcB_ENyfA"/>
    <s v="Cric Lover"/>
    <s v="http://www.youtube.com/channel/UCXdBdFeLezLwbzJcB_ENyfA"/>
    <m/>
    <s v="ahkB4Lj7kjA"/>
    <s v="https://www.youtube.com/watch?v=ahkB4Lj7kjA"/>
    <s v="none"/>
    <n v="1"/>
    <x v="182"/>
    <d v="2020-06-20T03:40:31.000"/>
    <m/>
    <m/>
    <m/>
    <n v="1"/>
    <s v="20"/>
    <s v="20"/>
    <m/>
    <m/>
    <m/>
    <m/>
    <m/>
    <m/>
    <m/>
    <m/>
    <m/>
  </r>
  <r>
    <s v="UCqop8tlrCuuuczAfxrR5j1A"/>
    <s v="UCDRa3hAzNSyCXYMm6zncajQ"/>
    <m/>
    <m/>
    <m/>
    <m/>
    <m/>
    <m/>
    <m/>
    <m/>
    <s v="No"/>
    <n v="186"/>
    <m/>
    <m/>
    <s v="Replied Comment"/>
    <s v="Reply"/>
    <s v="That typically means that you have a lot of visuals and your visual is waiting for others to complete."/>
    <s v="UCqop8tlrCuuuczAfxrR5j1A"/>
    <s v="Dan Szepesi"/>
    <s v="http://www.youtube.com/channel/UCqop8tlrCuuuczAfxrR5j1A"/>
    <s v="UgyO3W6ZpRD3qEV0ODJ4AaABAg"/>
    <s v="14KCckNbmvs"/>
    <s v="https://www.youtube.com/watch?v=14KCckNbmvs"/>
    <s v="none"/>
    <n v="0"/>
    <x v="183"/>
    <d v="2020-06-18T19:52:34.000"/>
    <m/>
    <m/>
    <m/>
    <n v="2"/>
    <s v="19"/>
    <s v="19"/>
    <m/>
    <m/>
    <m/>
    <m/>
    <m/>
    <m/>
    <m/>
    <m/>
    <m/>
  </r>
  <r>
    <s v="UCqop8tlrCuuuczAfxrR5j1A"/>
    <s v="UCDRa3hAzNSyCXYMm6zncajQ"/>
    <m/>
    <m/>
    <m/>
    <m/>
    <m/>
    <m/>
    <m/>
    <m/>
    <s v="No"/>
    <n v="187"/>
    <m/>
    <m/>
    <s v="Replied Comment"/>
    <s v="Reply"/>
    <s v="If you can&amp;#39;t reduce the number of visuals, look for Curbal&amp;#39;s video on DAX Fusion to see if you can take advantage of that."/>
    <s v="UCqop8tlrCuuuczAfxrR5j1A"/>
    <s v="Dan Szepesi"/>
    <s v="http://www.youtube.com/channel/UCqop8tlrCuuuczAfxrR5j1A"/>
    <s v="UgyO3W6ZpRD3qEV0ODJ4AaABAg"/>
    <s v="14KCckNbmvs"/>
    <s v="https://www.youtube.com/watch?v=14KCckNbmvs"/>
    <s v="none"/>
    <n v="0"/>
    <x v="184"/>
    <d v="2020-06-18T19:57:19.000"/>
    <m/>
    <m/>
    <m/>
    <n v="2"/>
    <s v="19"/>
    <s v="19"/>
    <m/>
    <m/>
    <m/>
    <m/>
    <m/>
    <m/>
    <m/>
    <m/>
    <m/>
  </r>
  <r>
    <s v="UCfth7ICp0EaKM6YyQPjvoOg"/>
    <s v="UCDRa3hAzNSyCXYMm6zncajQ"/>
    <m/>
    <m/>
    <m/>
    <m/>
    <m/>
    <m/>
    <m/>
    <m/>
    <s v="No"/>
    <n v="188"/>
    <m/>
    <m/>
    <s v="Replied Comment"/>
    <s v="Reply"/>
    <s v="Try Change slicer to dropdown. Not list"/>
    <s v="UCfth7ICp0EaKM6YyQPjvoOg"/>
    <s v="Jokoams"/>
    <s v="http://www.youtube.com/channel/UCfth7ICp0EaKM6YyQPjvoOg"/>
    <s v="UgyO3W6ZpRD3qEV0ODJ4AaABAg"/>
    <s v="14KCckNbmvs"/>
    <s v="https://www.youtube.com/watch?v=14KCckNbmvs"/>
    <s v="none"/>
    <n v="0"/>
    <x v="185"/>
    <d v="2020-06-18T22:58:41.000"/>
    <m/>
    <m/>
    <m/>
    <n v="1"/>
    <s v="19"/>
    <s v="19"/>
    <m/>
    <m/>
    <m/>
    <m/>
    <m/>
    <m/>
    <m/>
    <m/>
    <m/>
  </r>
  <r>
    <s v="UCFp1vaKzpfvoGai0vE5VJ0w"/>
    <s v="UCDRa3hAzNSyCXYMm6zncajQ"/>
    <m/>
    <m/>
    <m/>
    <m/>
    <m/>
    <m/>
    <m/>
    <m/>
    <s v="Yes"/>
    <n v="189"/>
    <m/>
    <m/>
    <s v="Replied Comment"/>
    <s v="Reply"/>
    <s v="It&amp;#39;s the time that is taking for waiting on other stuff to finish. Usually you have a lot of visuals. We saw one where they had 45 visuals and their slowest DAX query was 123ms. :| Had to reduce the number of visuals."/>
    <s v="UCFp1vaKzpfvoGai0vE5VJ0w"/>
    <s v="Guy in a Cube"/>
    <s v="http://www.youtube.com/channel/UCFp1vaKzpfvoGai0vE5VJ0w"/>
    <s v="UgyO3W6ZpRD3qEV0ODJ4AaABAg"/>
    <s v="14KCckNbmvs"/>
    <s v="https://www.youtube.com/watch?v=14KCckNbmvs"/>
    <s v="none"/>
    <n v="1"/>
    <x v="186"/>
    <d v="2020-06-20T23:37:01.000"/>
    <m/>
    <m/>
    <m/>
    <n v="2"/>
    <s v="2"/>
    <s v="19"/>
    <m/>
    <m/>
    <m/>
    <m/>
    <m/>
    <m/>
    <m/>
    <m/>
    <m/>
  </r>
  <r>
    <s v="UCFp1vaKzpfvoGai0vE5VJ0w"/>
    <s v="UCDRa3hAzNSyCXYMm6zncajQ"/>
    <m/>
    <m/>
    <m/>
    <m/>
    <m/>
    <m/>
    <m/>
    <m/>
    <s v="Yes"/>
    <n v="190"/>
    <m/>
    <m/>
    <s v="Replied Comment"/>
    <s v="Reply"/>
    <s v="Changing a slicer from list to dropdown will defer the DAX statement, but it&amp;#39;s still a visual that has to be rendered and will contribute to the Other timing."/>
    <s v="UCFp1vaKzpfvoGai0vE5VJ0w"/>
    <s v="Guy in a Cube"/>
    <s v="http://www.youtube.com/channel/UCFp1vaKzpfvoGai0vE5VJ0w"/>
    <s v="UgyO3W6ZpRD3qEV0ODJ4AaABAg"/>
    <s v="14KCckNbmvs"/>
    <s v="https://www.youtube.com/watch?v=14KCckNbmvs"/>
    <s v="none"/>
    <n v="0"/>
    <x v="187"/>
    <d v="2020-06-20T23:37:39.000"/>
    <m/>
    <m/>
    <m/>
    <n v="2"/>
    <s v="2"/>
    <s v="19"/>
    <m/>
    <m/>
    <m/>
    <m/>
    <m/>
    <m/>
    <m/>
    <m/>
    <m/>
  </r>
  <r>
    <s v="UCDRa3hAzNSyCXYMm6zncajQ"/>
    <s v="UCFp1vaKzpfvoGai0vE5VJ0w"/>
    <m/>
    <m/>
    <m/>
    <m/>
    <m/>
    <m/>
    <m/>
    <m/>
    <s v="Yes"/>
    <n v="191"/>
    <m/>
    <m/>
    <s v="Commented Video"/>
    <s v="Comment"/>
    <s v="The majority of the time for my longest visuals to run is spent in the &amp;quot;Other&amp;quot; bucket - any tips on how to decrease the time on that?&lt;br /&gt;&lt;br /&gt;Edit: Also thanks for this video!"/>
    <s v="UCDRa3hAzNSyCXYMm6zncajQ"/>
    <s v="Grant Culp"/>
    <s v="http://www.youtube.com/channel/UCDRa3hAzNSyCXYMm6zncajQ"/>
    <m/>
    <s v="14KCckNbmvs"/>
    <s v="https://www.youtube.com/watch?v=14KCckNbmvs"/>
    <s v="none"/>
    <n v="1"/>
    <x v="188"/>
    <d v="2020-06-18T18:58:37.000"/>
    <m/>
    <m/>
    <m/>
    <n v="1"/>
    <s v="19"/>
    <s v="2"/>
    <m/>
    <m/>
    <m/>
    <m/>
    <m/>
    <m/>
    <m/>
    <m/>
    <m/>
  </r>
  <r>
    <s v="UCFp1vaKzpfvoGai0vE5VJ0w"/>
    <s v="UCvr2RftXJBsY7vTlQCmxZaw"/>
    <m/>
    <m/>
    <m/>
    <m/>
    <m/>
    <m/>
    <m/>
    <m/>
    <s v="Yes"/>
    <n v="192"/>
    <m/>
    <m/>
    <s v="Replied Comment"/>
    <s v="Reply"/>
    <s v="Appreciate that! Thanks for watching 👊"/>
    <s v="UCFp1vaKzpfvoGai0vE5VJ0w"/>
    <s v="Guy in a Cube"/>
    <s v="http://www.youtube.com/channel/UCFp1vaKzpfvoGai0vE5VJ0w"/>
    <s v="UgyWP7pnaz9UFfUhcNd4AaABAg"/>
    <s v="14KCckNbmvs"/>
    <s v="https://www.youtube.com/watch?v=14KCckNbmvs"/>
    <s v="none"/>
    <n v="0"/>
    <x v="189"/>
    <d v="2020-06-20T23:35:59.000"/>
    <m/>
    <m/>
    <m/>
    <n v="1"/>
    <s v="2"/>
    <s v="2"/>
    <m/>
    <m/>
    <m/>
    <m/>
    <m/>
    <m/>
    <m/>
    <m/>
    <m/>
  </r>
  <r>
    <s v="UCvr2RftXJBsY7vTlQCmxZaw"/>
    <s v="UCFp1vaKzpfvoGai0vE5VJ0w"/>
    <m/>
    <m/>
    <m/>
    <m/>
    <m/>
    <m/>
    <m/>
    <m/>
    <s v="Yes"/>
    <n v="193"/>
    <m/>
    <m/>
    <s v="Commented Video"/>
    <s v="Comment"/>
    <s v="Thanx Adam! Great video"/>
    <s v="UCvr2RftXJBsY7vTlQCmxZaw"/>
    <s v="arnohoedelmans"/>
    <s v="http://www.youtube.com/channel/UCvr2RftXJBsY7vTlQCmxZaw"/>
    <m/>
    <s v="14KCckNbmvs"/>
    <s v="https://www.youtube.com/watch?v=14KCckNbmvs"/>
    <s v="none"/>
    <n v="1"/>
    <x v="190"/>
    <d v="2020-06-18T19:46:28.000"/>
    <m/>
    <m/>
    <m/>
    <n v="1"/>
    <s v="2"/>
    <s v="2"/>
    <m/>
    <m/>
    <m/>
    <m/>
    <m/>
    <m/>
    <m/>
    <m/>
    <m/>
  </r>
  <r>
    <s v="UCFp1vaKzpfvoGai0vE5VJ0w"/>
    <s v="UCO7kLxBbcZ-F6jdssKIMfFw"/>
    <m/>
    <m/>
    <m/>
    <m/>
    <m/>
    <m/>
    <m/>
    <m/>
    <s v="Yes"/>
    <n v="194"/>
    <m/>
    <m/>
    <s v="Replied Comment"/>
    <s v="Reply"/>
    <s v="need to break down the DAX. Check out the video that Patrick and Marco did on debugging DAX. You definitely need to optimize that. &lt;a href=&quot;https://www.youtube.com/watch?v=9SV2VnYbgg4&quot;&gt;https://www.youtube.com/watch?v=9SV2VnYbgg4&lt;/a&gt;"/>
    <s v="UCFp1vaKzpfvoGai0vE5VJ0w"/>
    <s v="Guy in a Cube"/>
    <s v="http://www.youtube.com/channel/UCFp1vaKzpfvoGai0vE5VJ0w"/>
    <s v="UgwMT9PF5eXprCQEkYd4AaABAg"/>
    <s v="14KCckNbmvs"/>
    <s v="https://www.youtube.com/watch?v=14KCckNbmvs"/>
    <s v="none"/>
    <n v="0"/>
    <x v="191"/>
    <d v="2020-06-20T23:35:18.000"/>
    <s v=" https://www.youtube.com/watch?v=9SV2VnYbgg4 https://www.youtube.com/watch?v=9SV2VnYbgg4"/>
    <s v="youtube.com youtube.com"/>
    <m/>
    <n v="2"/>
    <s v="2"/>
    <s v="2"/>
    <m/>
    <m/>
    <m/>
    <m/>
    <m/>
    <m/>
    <m/>
    <m/>
    <m/>
  </r>
  <r>
    <s v="UCFp1vaKzpfvoGai0vE5VJ0w"/>
    <s v="UCO7kLxBbcZ-F6jdssKIMfFw"/>
    <m/>
    <m/>
    <m/>
    <m/>
    <m/>
    <m/>
    <m/>
    <m/>
    <s v="Yes"/>
    <n v="195"/>
    <m/>
    <m/>
    <s v="Replied Comment"/>
    <s v="Reply"/>
    <s v="Also look at this video we did with Phil Seamark: &lt;a href=&quot;https://www.youtube.com/watch?v=eABg872TAJU&quot;&gt;https://www.youtube.com/watch?v=eABg872TAJU&lt;/a&gt;"/>
    <s v="UCFp1vaKzpfvoGai0vE5VJ0w"/>
    <s v="Guy in a Cube"/>
    <s v="http://www.youtube.com/channel/UCFp1vaKzpfvoGai0vE5VJ0w"/>
    <s v="UgwMT9PF5eXprCQEkYd4AaABAg"/>
    <s v="14KCckNbmvs"/>
    <s v="https://www.youtube.com/watch?v=14KCckNbmvs"/>
    <s v="none"/>
    <n v="0"/>
    <x v="192"/>
    <d v="2020-06-20T23:35:44.000"/>
    <s v=" https://www.youtube.com/watch?v=eABg872TAJU https://www.youtube.com/watch?v=eABg872TAJU"/>
    <s v="youtube.com youtube.com"/>
    <m/>
    <n v="2"/>
    <s v="2"/>
    <s v="2"/>
    <m/>
    <m/>
    <m/>
    <m/>
    <m/>
    <m/>
    <m/>
    <m/>
    <m/>
  </r>
  <r>
    <s v="UCO7kLxBbcZ-F6jdssKIMfFw"/>
    <s v="UCFp1vaKzpfvoGai0vE5VJ0w"/>
    <m/>
    <m/>
    <m/>
    <m/>
    <m/>
    <m/>
    <m/>
    <m/>
    <s v="Yes"/>
    <n v="196"/>
    <m/>
    <m/>
    <s v="Commented Video"/>
    <s v="Comment"/>
    <s v="My storage engine query is 266 approx and is taking 60s to derive :( is there a way which can help optimize my dax to improve the performance?"/>
    <s v="UCO7kLxBbcZ-F6jdssKIMfFw"/>
    <s v="Chandan Gadodia"/>
    <s v="http://www.youtube.com/channel/UCO7kLxBbcZ-F6jdssKIMfFw"/>
    <m/>
    <s v="14KCckNbmvs"/>
    <s v="https://www.youtube.com/watch?v=14KCckNbmvs"/>
    <s v="none"/>
    <n v="1"/>
    <x v="193"/>
    <d v="2020-06-18T19:55:29.000"/>
    <m/>
    <m/>
    <m/>
    <n v="1"/>
    <s v="2"/>
    <s v="2"/>
    <m/>
    <m/>
    <m/>
    <m/>
    <m/>
    <m/>
    <m/>
    <m/>
    <m/>
  </r>
  <r>
    <s v="UCFp1vaKzpfvoGai0vE5VJ0w"/>
    <s v="UCFiPHO5NgaQdVggOroJP_nw"/>
    <m/>
    <m/>
    <m/>
    <m/>
    <m/>
    <m/>
    <m/>
    <m/>
    <s v="Yes"/>
    <n v="197"/>
    <m/>
    <m/>
    <s v="Replied Comment"/>
    <s v="Reply"/>
    <s v="Agreed. Have heard Marco and Alberto say that all the time. I also liked the article that Alberto just posted - &lt;a href=&quot;https://www.sqlbi.com/blog/alberto/2020/06/20/7-reasons-dax-is-not-easy/&quot;&gt;https://www.sqlbi.com/blog/alberto/2020/06/20/7-reasons-dax-is-not-easy/&lt;/a&gt;"/>
    <s v="UCFp1vaKzpfvoGai0vE5VJ0w"/>
    <s v="Guy in a Cube"/>
    <s v="http://www.youtube.com/channel/UCFp1vaKzpfvoGai0vE5VJ0w"/>
    <s v="UgxNq9dOO7FG3plkjqZ4AaABAg"/>
    <s v="14KCckNbmvs"/>
    <s v="https://www.youtube.com/watch?v=14KCckNbmvs"/>
    <s v="none"/>
    <n v="0"/>
    <x v="194"/>
    <d v="2020-06-20T23:32:26.000"/>
    <s v=" https://www.sqlbi.com/blog/alberto/2020/06/20/7-reasons-dax-is-not-easy/ https://www.sqlbi.com/blog/alberto/2020/06/20/7-reasons-dax-is-not-easy/"/>
    <s v="sqlbi.com sqlbi.com"/>
    <m/>
    <n v="1"/>
    <s v="2"/>
    <s v="2"/>
    <m/>
    <m/>
    <m/>
    <m/>
    <m/>
    <m/>
    <m/>
    <m/>
    <m/>
  </r>
  <r>
    <s v="UCFiPHO5NgaQdVggOroJP_nw"/>
    <s v="UCFp1vaKzpfvoGai0vE5VJ0w"/>
    <m/>
    <m/>
    <m/>
    <m/>
    <m/>
    <m/>
    <m/>
    <m/>
    <s v="Yes"/>
    <n v="198"/>
    <m/>
    <m/>
    <s v="Commented Video"/>
    <s v="Comment"/>
    <s v="DAX is simple, but not easy at all"/>
    <s v="UCFiPHO5NgaQdVggOroJP_nw"/>
    <s v="Gulherme Pereira"/>
    <s v="http://www.youtube.com/channel/UCFiPHO5NgaQdVggOroJP_nw"/>
    <m/>
    <s v="14KCckNbmvs"/>
    <s v="https://www.youtube.com/watch?v=14KCckNbmvs"/>
    <s v="none"/>
    <n v="5"/>
    <x v="195"/>
    <d v="2020-06-18T20:32:06.000"/>
    <m/>
    <m/>
    <m/>
    <n v="1"/>
    <s v="2"/>
    <s v="2"/>
    <m/>
    <m/>
    <m/>
    <m/>
    <m/>
    <m/>
    <m/>
    <m/>
    <m/>
  </r>
  <r>
    <s v="UCFp1vaKzpfvoGai0vE5VJ0w"/>
    <s v="UCQSAWg2c-QMRHUyywmilREQ"/>
    <m/>
    <m/>
    <m/>
    <m/>
    <m/>
    <m/>
    <m/>
    <m/>
    <s v="Yes"/>
    <n v="199"/>
    <m/>
    <m/>
    <s v="Replied Comment"/>
    <s v="Reply"/>
    <s v="yes! thanks for sharing."/>
    <s v="UCFp1vaKzpfvoGai0vE5VJ0w"/>
    <s v="Guy in a Cube"/>
    <s v="http://www.youtube.com/channel/UCFp1vaKzpfvoGai0vE5VJ0w"/>
    <s v="UgzHTnE07bZtKV6LI9t4AaABAg"/>
    <s v="14KCckNbmvs"/>
    <s v="https://www.youtube.com/watch?v=14KCckNbmvs"/>
    <s v="none"/>
    <n v="0"/>
    <x v="196"/>
    <d v="2020-06-20T23:30:41.000"/>
    <m/>
    <m/>
    <m/>
    <n v="1"/>
    <s v="2"/>
    <s v="2"/>
    <m/>
    <m/>
    <m/>
    <m/>
    <m/>
    <m/>
    <m/>
    <m/>
    <m/>
  </r>
  <r>
    <s v="UCQSAWg2c-QMRHUyywmilREQ"/>
    <s v="UCFp1vaKzpfvoGai0vE5VJ0w"/>
    <m/>
    <m/>
    <m/>
    <m/>
    <m/>
    <m/>
    <m/>
    <m/>
    <s v="Yes"/>
    <n v="200"/>
    <m/>
    <m/>
    <s v="Commented Video"/>
    <s v="Comment"/>
    <s v="There&amp;#39;s an updated version of Dax Studio &lt;a href=&quot;https://github.com/DaxStudio/DaxStudio/commit/f9ee1a2502b437b2ee37b1eaad7f7c855733c156&quot;&gt;https://github.com/DaxStudio/DaxStudio/commit/f9ee1a2502b437b2ee37b1eaad7f7c855733c156&lt;/a&gt;"/>
    <s v="UCQSAWg2c-QMRHUyywmilREQ"/>
    <s v="Fernando Calero"/>
    <s v="http://www.youtube.com/channel/UCQSAWg2c-QMRHUyywmilREQ"/>
    <m/>
    <s v="14KCckNbmvs"/>
    <s v="https://www.youtube.com/watch?v=14KCckNbmvs"/>
    <s v="none"/>
    <n v="1"/>
    <x v="197"/>
    <d v="2020-06-19T03:05:02.000"/>
    <s v=" https://github.com/DaxStudio/DaxStudio/commit/f9ee1a2502b437b2ee37b1eaad7f7c855733c156 https://github.com/DaxStudio/DaxStudio/commit/f9ee1a2502b437b2ee37b1eaad7f7c855733c156"/>
    <s v="github.com github.com"/>
    <m/>
    <n v="1"/>
    <s v="2"/>
    <s v="2"/>
    <m/>
    <m/>
    <m/>
    <m/>
    <m/>
    <m/>
    <m/>
    <m/>
    <m/>
  </r>
  <r>
    <s v="UCFp1vaKzpfvoGai0vE5VJ0w"/>
    <s v="UCtlTqmbJidEUZFkxHptY1FA"/>
    <m/>
    <m/>
    <m/>
    <m/>
    <m/>
    <m/>
    <m/>
    <m/>
    <s v="Yes"/>
    <n v="201"/>
    <m/>
    <m/>
    <s v="Replied Comment"/>
    <s v="Reply"/>
    <s v="That is a huge topic :) we have some videos covering some. Also pointed in the video to the video we did with Marco about how to debug DAX."/>
    <s v="UCFp1vaKzpfvoGai0vE5VJ0w"/>
    <s v="Guy in a Cube"/>
    <s v="http://www.youtube.com/channel/UCFp1vaKzpfvoGai0vE5VJ0w"/>
    <s v="Ugz3Eqa7bewykL_-aqR4AaABAg"/>
    <s v="14KCckNbmvs"/>
    <s v="https://www.youtube.com/watch?v=14KCckNbmvs"/>
    <s v="none"/>
    <n v="0"/>
    <x v="198"/>
    <d v="2020-06-20T23:30:18.000"/>
    <m/>
    <m/>
    <m/>
    <n v="1"/>
    <s v="2"/>
    <s v="2"/>
    <m/>
    <m/>
    <m/>
    <m/>
    <m/>
    <m/>
    <m/>
    <m/>
    <m/>
  </r>
  <r>
    <s v="UCtlTqmbJidEUZFkxHptY1FA"/>
    <s v="UCFp1vaKzpfvoGai0vE5VJ0w"/>
    <m/>
    <m/>
    <m/>
    <m/>
    <m/>
    <m/>
    <m/>
    <m/>
    <s v="Yes"/>
    <n v="202"/>
    <m/>
    <m/>
    <s v="Commented Video"/>
    <s v="Comment"/>
    <s v="That was a good start but I felt like you stopped at the most interesting bit: DAX optimization. How about a part 2?"/>
    <s v="UCtlTqmbJidEUZFkxHptY1FA"/>
    <s v="Andrew Tuplin"/>
    <s v="http://www.youtube.com/channel/UCtlTqmbJidEUZFkxHptY1FA"/>
    <m/>
    <s v="14KCckNbmvs"/>
    <s v="https://www.youtube.com/watch?v=14KCckNbmvs"/>
    <s v="none"/>
    <n v="7"/>
    <x v="199"/>
    <d v="2020-06-19T04:07:53.000"/>
    <m/>
    <m/>
    <m/>
    <n v="1"/>
    <s v="2"/>
    <s v="2"/>
    <m/>
    <m/>
    <m/>
    <m/>
    <m/>
    <m/>
    <m/>
    <m/>
    <m/>
  </r>
  <r>
    <s v="UCFp1vaKzpfvoGai0vE5VJ0w"/>
    <s v="UCYyKfXHo6Jho0ICP9TZFZRg"/>
    <m/>
    <m/>
    <m/>
    <m/>
    <m/>
    <m/>
    <m/>
    <m/>
    <s v="Yes"/>
    <n v="203"/>
    <m/>
    <m/>
    <s v="Replied Comment"/>
    <s v="Reply"/>
    <s v="Taking it day by day :) We have plans to do more."/>
    <s v="UCFp1vaKzpfvoGai0vE5VJ0w"/>
    <s v="Guy in a Cube"/>
    <s v="http://www.youtube.com/channel/UCFp1vaKzpfvoGai0vE5VJ0w"/>
    <s v="Ugz5m9nhv_mmwKDeveN4AaABAg"/>
    <s v="14KCckNbmvs"/>
    <s v="https://www.youtube.com/watch?v=14KCckNbmvs"/>
    <s v="none"/>
    <n v="0"/>
    <x v="200"/>
    <d v="2020-06-20T23:26:52.000"/>
    <m/>
    <m/>
    <m/>
    <n v="1"/>
    <s v="2"/>
    <s v="2"/>
    <m/>
    <m/>
    <m/>
    <m/>
    <m/>
    <m/>
    <m/>
    <m/>
    <m/>
  </r>
  <r>
    <s v="UCYyKfXHo6Jho0ICP9TZFZRg"/>
    <s v="UCFp1vaKzpfvoGai0vE5VJ0w"/>
    <m/>
    <m/>
    <m/>
    <m/>
    <m/>
    <m/>
    <m/>
    <m/>
    <s v="Yes"/>
    <n v="204"/>
    <m/>
    <m/>
    <s v="Commented Video"/>
    <s v="Comment"/>
    <s v="Good Video, I&amp;#39;m surprised that you guys aren&amp;#39;t more popular. I&amp;#39;d love to see more on Optimisation"/>
    <s v="UCYyKfXHo6Jho0ICP9TZFZRg"/>
    <s v="Jesse Cox"/>
    <s v="http://www.youtube.com/channel/UCYyKfXHo6Jho0ICP9TZFZRg"/>
    <m/>
    <s v="14KCckNbmvs"/>
    <s v="https://www.youtube.com/watch?v=14KCckNbmvs"/>
    <s v="none"/>
    <n v="1"/>
    <x v="201"/>
    <d v="2020-06-19T18:09:13.000"/>
    <m/>
    <m/>
    <m/>
    <n v="1"/>
    <s v="2"/>
    <s v="2"/>
    <m/>
    <m/>
    <m/>
    <m/>
    <m/>
    <m/>
    <m/>
    <m/>
    <m/>
  </r>
  <r>
    <s v="UCFp1vaKzpfvoGai0vE5VJ0w"/>
    <s v="UCHVkfQ6eBHYzyRh0LLjpNpg"/>
    <m/>
    <m/>
    <m/>
    <m/>
    <m/>
    <m/>
    <m/>
    <m/>
    <s v="Yes"/>
    <n v="205"/>
    <m/>
    <m/>
    <s v="Replied Comment"/>
    <s v="Reply"/>
    <s v="Thanks for watching Anthony! 👊"/>
    <s v="UCFp1vaKzpfvoGai0vE5VJ0w"/>
    <s v="Guy in a Cube"/>
    <s v="http://www.youtube.com/channel/UCFp1vaKzpfvoGai0vE5VJ0w"/>
    <s v="UgyB_HvvxVRF6GCiaHB4AaABAg"/>
    <s v="14KCckNbmvs"/>
    <s v="https://www.youtube.com/watch?v=14KCckNbmvs"/>
    <s v="none"/>
    <n v="0"/>
    <x v="202"/>
    <d v="2020-06-20T23:26:29.000"/>
    <m/>
    <m/>
    <m/>
    <n v="1"/>
    <s v="2"/>
    <s v="2"/>
    <m/>
    <m/>
    <m/>
    <m/>
    <m/>
    <m/>
    <m/>
    <m/>
    <m/>
  </r>
  <r>
    <s v="UCHVkfQ6eBHYzyRh0LLjpNpg"/>
    <s v="UCFp1vaKzpfvoGai0vE5VJ0w"/>
    <m/>
    <m/>
    <m/>
    <m/>
    <m/>
    <m/>
    <m/>
    <m/>
    <s v="Yes"/>
    <n v="206"/>
    <m/>
    <m/>
    <s v="Commented Video"/>
    <s v="Comment"/>
    <s v="Cool."/>
    <s v="UCHVkfQ6eBHYzyRh0LLjpNpg"/>
    <s v="Anthony P Cheng"/>
    <s v="http://www.youtube.com/channel/UCHVkfQ6eBHYzyRh0LLjpNpg"/>
    <m/>
    <s v="14KCckNbmvs"/>
    <s v="https://www.youtube.com/watch?v=14KCckNbmvs"/>
    <s v="none"/>
    <n v="1"/>
    <x v="203"/>
    <d v="2020-06-19T20:33:54.000"/>
    <m/>
    <m/>
    <m/>
    <n v="1"/>
    <s v="2"/>
    <s v="2"/>
    <m/>
    <m/>
    <m/>
    <m/>
    <m/>
    <m/>
    <m/>
    <m/>
    <m/>
  </r>
  <r>
    <s v="UCFp1vaKzpfvoGai0vE5VJ0w"/>
    <s v="UCIOXfx8ziM1LrWylHIsrN0Q"/>
    <m/>
    <m/>
    <m/>
    <m/>
    <m/>
    <m/>
    <m/>
    <m/>
    <s v="Yes"/>
    <n v="207"/>
    <m/>
    <m/>
    <s v="Replied Comment"/>
    <s v="Reply"/>
    <s v="hard to answer without more details. The memory consumption is probably tied to your data model. You should see the memory break down in Task Manager for the sub processes. When you launch the the PBIX, it will also try rendering the visuals, which in turn will query the data model. Not sure how long you see that for. Also depends on what kind of machine you have. If you are limited memory, OS paging will kick in as well which will slow things down."/>
    <s v="UCFp1vaKzpfvoGai0vE5VJ0w"/>
    <s v="Guy in a Cube"/>
    <s v="http://www.youtube.com/channel/UCFp1vaKzpfvoGai0vE5VJ0w"/>
    <s v="UgzQNARl-zCYfasNlNd4AaABAg"/>
    <s v="14KCckNbmvs"/>
    <s v="https://www.youtube.com/watch?v=14KCckNbmvs"/>
    <s v="none"/>
    <n v="0"/>
    <x v="204"/>
    <d v="2020-06-20T23:25:25.000"/>
    <m/>
    <m/>
    <m/>
    <n v="1"/>
    <s v="2"/>
    <s v="2"/>
    <m/>
    <m/>
    <m/>
    <m/>
    <m/>
    <m/>
    <m/>
    <m/>
    <m/>
  </r>
  <r>
    <s v="UCIOXfx8ziM1LrWylHIsrN0Q"/>
    <s v="UCFp1vaKzpfvoGai0vE5VJ0w"/>
    <m/>
    <m/>
    <m/>
    <m/>
    <m/>
    <m/>
    <m/>
    <m/>
    <s v="Yes"/>
    <n v="208"/>
    <m/>
    <m/>
    <s v="Commented Video"/>
    <s v="Comment"/>
    <s v="I have created a report in power bi where all data is coming from flat files. I don&amp;#39;t know why, when I open pbix it consume 100% of CPU and more than 2 gb of RAM and slows down the system. Any reason behind that?"/>
    <s v="UCIOXfx8ziM1LrWylHIsrN0Q"/>
    <s v="Ranjan Mehta"/>
    <s v="http://www.youtube.com/channel/UCIOXfx8ziM1LrWylHIsrN0Q"/>
    <m/>
    <s v="14KCckNbmvs"/>
    <s v="https://www.youtube.com/watch?v=14KCckNbmvs"/>
    <s v="none"/>
    <n v="0"/>
    <x v="205"/>
    <d v="2020-06-20T04:47:39.000"/>
    <m/>
    <m/>
    <m/>
    <n v="1"/>
    <s v="2"/>
    <s v="2"/>
    <m/>
    <m/>
    <m/>
    <m/>
    <m/>
    <m/>
    <m/>
    <m/>
    <m/>
  </r>
  <r>
    <s v="UCH4mvHhRxr_WHPjun9cr5PA"/>
    <s v="UC_JkFPAlLvXUWm4YTru40oA"/>
    <m/>
    <m/>
    <m/>
    <m/>
    <m/>
    <m/>
    <m/>
    <m/>
    <s v="Yes"/>
    <n v="209"/>
    <m/>
    <m/>
    <s v="Replied Comment"/>
    <s v="Reply"/>
    <s v="Valeu!!! tamojunto"/>
    <s v="UCH4mvHhRxr_WHPjun9cr5PA"/>
    <s v="Power BI na Real"/>
    <s v="http://www.youtube.com/channel/UCH4mvHhRxr_WHPjun9cr5PA"/>
    <s v="UgwtOX991rGPLy8K2o14AaABAg"/>
    <s v="C9afvnws3KE"/>
    <s v="https://www.youtube.com/watch?v=C9afvnws3KE"/>
    <s v="none"/>
    <n v="1"/>
    <x v="206"/>
    <d v="2020-06-18T19:07:29.000"/>
    <m/>
    <m/>
    <m/>
    <n v="1"/>
    <s v="18"/>
    <s v="18"/>
    <m/>
    <m/>
    <m/>
    <m/>
    <m/>
    <m/>
    <m/>
    <m/>
    <m/>
  </r>
  <r>
    <s v="UC_JkFPAlLvXUWm4YTru40oA"/>
    <s v="UC_JkFPAlLvXUWm4YTru40oA"/>
    <m/>
    <m/>
    <m/>
    <m/>
    <m/>
    <m/>
    <m/>
    <m/>
    <s v="No"/>
    <n v="210"/>
    <m/>
    <m/>
    <s v="Replied Comment"/>
    <s v="Reply"/>
    <s v="@Power BI na Real &lt;a href=&quot;http://www.youtube.com/results?search_query=%23tmj&quot;&gt;#TMJ&lt;/a&gt;...🤜🤛aprendendo com seus vídeos! Obrigado!!!"/>
    <s v="UC_JkFPAlLvXUWm4YTru40oA"/>
    <s v="Wilde Correa"/>
    <s v="http://www.youtube.com/channel/UC_JkFPAlLvXUWm4YTru40oA"/>
    <s v="UgwtOX991rGPLy8K2o14AaABAg"/>
    <s v="C9afvnws3KE"/>
    <s v="https://www.youtube.com/watch?v=C9afvnws3KE"/>
    <s v="none"/>
    <n v="1"/>
    <x v="207"/>
    <d v="2020-06-18T18:59:40.000"/>
    <s v=" http://www.youtube.com/results?search_query=%23tmj"/>
    <s v="youtube.com"/>
    <m/>
    <n v="1"/>
    <s v="18"/>
    <s v="18"/>
    <m/>
    <m/>
    <m/>
    <m/>
    <m/>
    <m/>
    <m/>
    <m/>
    <m/>
  </r>
  <r>
    <s v="UC_JkFPAlLvXUWm4YTru40oA"/>
    <s v="UCH4mvHhRxr_WHPjun9cr5PA"/>
    <m/>
    <m/>
    <m/>
    <m/>
    <m/>
    <m/>
    <m/>
    <m/>
    <s v="Yes"/>
    <n v="211"/>
    <m/>
    <m/>
    <s v="Commented Video"/>
    <s v="Comment"/>
    <s v="Excelente dica, professor! &lt;br /&gt;Tenho uma sugestão. Acho que esse cabeçalho do Dashboard ficaria melhor se não destoasse tanto a cor da logomarca (amarela) com a cor cinza clara do retângulo.&lt;br /&gt;Só sugestão de cor do layout mesmo.&lt;br /&gt;Parabéns pelo excelente trabalho. 👏👏👏👏💥☝️☝️☝️"/>
    <s v="UC_JkFPAlLvXUWm4YTru40oA"/>
    <s v="Wilde Correa"/>
    <s v="http://www.youtube.com/channel/UC_JkFPAlLvXUWm4YTru40oA"/>
    <m/>
    <s v="C9afvnws3KE"/>
    <s v="https://www.youtube.com/watch?v=C9afvnws3KE"/>
    <s v="none"/>
    <n v="2"/>
    <x v="208"/>
    <d v="2020-06-18T19:00:03.000"/>
    <m/>
    <m/>
    <m/>
    <n v="1"/>
    <s v="18"/>
    <s v="18"/>
    <m/>
    <m/>
    <m/>
    <m/>
    <m/>
    <m/>
    <m/>
    <m/>
    <m/>
  </r>
  <r>
    <s v="UCH4mvHhRxr_WHPjun9cr5PA"/>
    <s v="UCcKca2PIQW-sa09aXWYL5PA"/>
    <m/>
    <m/>
    <m/>
    <m/>
    <m/>
    <m/>
    <m/>
    <m/>
    <s v="Yes"/>
    <n v="212"/>
    <m/>
    <m/>
    <s v="Replied Comment"/>
    <s v="Reply"/>
    <s v="Curta e ajude compartilhando. Valeuu"/>
    <s v="UCH4mvHhRxr_WHPjun9cr5PA"/>
    <s v="Power BI na Real"/>
    <s v="http://www.youtube.com/channel/UCH4mvHhRxr_WHPjun9cr5PA"/>
    <s v="UgydJQmagPfB6KFskNZ4AaABAg"/>
    <s v="C9afvnws3KE"/>
    <s v="https://www.youtube.com/watch?v=C9afvnws3KE"/>
    <s v="none"/>
    <n v="1"/>
    <x v="209"/>
    <d v="2020-06-18T19:48:17.000"/>
    <m/>
    <m/>
    <m/>
    <n v="1"/>
    <s v="18"/>
    <s v="18"/>
    <m/>
    <m/>
    <m/>
    <m/>
    <m/>
    <m/>
    <m/>
    <m/>
    <m/>
  </r>
  <r>
    <s v="UCcKca2PIQW-sa09aXWYL5PA"/>
    <s v="UCH4mvHhRxr_WHPjun9cr5PA"/>
    <m/>
    <m/>
    <m/>
    <m/>
    <m/>
    <m/>
    <m/>
    <m/>
    <s v="Yes"/>
    <n v="213"/>
    <m/>
    <m/>
    <s v="Commented Video"/>
    <s v="Comment"/>
    <s v="Seus vídeos são muito bons prof. Parabéns pelo conteúdo. Direto ao ponto, claro e objetivo."/>
    <s v="UCcKca2PIQW-sa09aXWYL5PA"/>
    <s v="Gustavo Faria"/>
    <s v="http://www.youtube.com/channel/UCcKca2PIQW-sa09aXWYL5PA"/>
    <m/>
    <s v="C9afvnws3KE"/>
    <s v="https://www.youtube.com/watch?v=C9afvnws3KE"/>
    <s v="none"/>
    <n v="2"/>
    <x v="210"/>
    <d v="2020-06-18T19:24:47.000"/>
    <m/>
    <m/>
    <m/>
    <n v="1"/>
    <s v="18"/>
    <s v="18"/>
    <m/>
    <m/>
    <m/>
    <m/>
    <m/>
    <m/>
    <m/>
    <m/>
    <m/>
  </r>
  <r>
    <s v="UCHuFeq6O8IE77zuClBDkATg"/>
    <s v="UCMHwup1V_k48AWCCFNe2yqQ"/>
    <m/>
    <m/>
    <m/>
    <m/>
    <m/>
    <m/>
    <m/>
    <m/>
    <s v="No"/>
    <n v="214"/>
    <m/>
    <m/>
    <s v="Replied Comment"/>
    <s v="Reply"/>
    <s v="All just return all of the columns or the table irrespective of any filter that has been applied on the columns or the table."/>
    <s v="UCHuFeq6O8IE77zuClBDkATg"/>
    <s v="MSBI ninja"/>
    <s v="http://www.youtube.com/channel/UCHuFeq6O8IE77zuClBDkATg"/>
    <s v="UgxiyL6P545UkhtK1DN4AaABAg"/>
    <s v="Ieh0EhJzJgo"/>
    <s v="https://www.youtube.com/watch?v=Ieh0EhJzJgo"/>
    <s v="none"/>
    <n v="0"/>
    <x v="211"/>
    <d v="2020-06-21T10:59:57.000"/>
    <m/>
    <m/>
    <m/>
    <n v="1"/>
    <s v="13"/>
    <s v="13"/>
    <m/>
    <m/>
    <m/>
    <m/>
    <m/>
    <m/>
    <m/>
    <m/>
    <m/>
  </r>
  <r>
    <s v="UCMHwup1V_k48AWCCFNe2yqQ"/>
    <s v="UCy2rBgj4M1tzK-urTZ28zcA"/>
    <m/>
    <m/>
    <m/>
    <m/>
    <m/>
    <m/>
    <m/>
    <m/>
    <s v="No"/>
    <n v="215"/>
    <m/>
    <m/>
    <s v="Commented Video"/>
    <s v="Comment"/>
    <s v="Thanks, Melissa! Enterprise DNA videos always give me insights really. So did this one... &amp;quot;ISINSCOPE&amp;quot;, &amp;quot;&amp;amp;&amp;amp;&amp;quot; as AND... And if I am lucky enough, I will someday understand the true meaning of &amp;quot;FILTER (ALL(&amp;quot; thingy..."/>
    <s v="UCMHwup1V_k48AWCCFNe2yqQ"/>
    <s v="leo iakovlev"/>
    <s v="http://www.youtube.com/channel/UCMHwup1V_k48AWCCFNe2yqQ"/>
    <m/>
    <s v="Ieh0EhJzJgo"/>
    <s v="https://www.youtube.com/watch?v=Ieh0EhJzJgo"/>
    <s v="none"/>
    <n v="1"/>
    <x v="212"/>
    <d v="2020-06-19T00:13:24.000"/>
    <m/>
    <m/>
    <m/>
    <n v="1"/>
    <s v="13"/>
    <s v="13"/>
    <m/>
    <m/>
    <m/>
    <m/>
    <m/>
    <m/>
    <m/>
    <m/>
    <m/>
  </r>
  <r>
    <s v="UCHQ7g1xX-e9rghxNR4ChsOg"/>
    <s v="UCAlXUgj-ciriCdqCLXIB7jQ"/>
    <m/>
    <m/>
    <m/>
    <m/>
    <m/>
    <m/>
    <m/>
    <m/>
    <s v="Yes"/>
    <n v="216"/>
    <m/>
    <m/>
    <s v="Replied Comment"/>
    <s v="Reply"/>
    <s v="You&amp;#39;re welcome"/>
    <s v="UCHQ7g1xX-e9rghxNR4ChsOg"/>
    <s v="laxmi skills"/>
    <s v="http://www.youtube.com/channel/UCHQ7g1xX-e9rghxNR4ChsOg"/>
    <s v="UgyLIdh85uKCiX-0QjR4AaABAg"/>
    <s v="umBP2NJTi7E"/>
    <s v="https://www.youtube.com/watch?v=umBP2NJTi7E"/>
    <s v="none"/>
    <n v="0"/>
    <x v="213"/>
    <d v="2020-06-19T11:32:12.000"/>
    <m/>
    <m/>
    <m/>
    <n v="1"/>
    <s v="9"/>
    <s v="9"/>
    <m/>
    <m/>
    <m/>
    <m/>
    <m/>
    <m/>
    <m/>
    <m/>
    <m/>
  </r>
  <r>
    <s v="UCAlXUgj-ciriCdqCLXIB7jQ"/>
    <s v="UCAlXUgj-ciriCdqCLXIB7jQ"/>
    <m/>
    <m/>
    <m/>
    <m/>
    <m/>
    <m/>
    <m/>
    <m/>
    <s v="No"/>
    <n v="217"/>
    <m/>
    <m/>
    <s v="Replied Comment"/>
    <s v="Reply"/>
    <s v="@laxmi skills please speak in english"/>
    <s v="UCAlXUgj-ciriCdqCLXIB7jQ"/>
    <s v="سعود الريشي"/>
    <s v="http://www.youtube.com/channel/UCAlXUgj-ciriCdqCLXIB7jQ"/>
    <s v="UgyLIdh85uKCiX-0QjR4AaABAg"/>
    <s v="umBP2NJTi7E"/>
    <s v="https://www.youtube.com/watch?v=umBP2NJTi7E"/>
    <s v="none"/>
    <n v="0"/>
    <x v="214"/>
    <d v="2020-06-19T11:42:18.000"/>
    <m/>
    <m/>
    <m/>
    <n v="1"/>
    <s v="9"/>
    <s v="9"/>
    <m/>
    <m/>
    <m/>
    <m/>
    <m/>
    <m/>
    <m/>
    <m/>
    <m/>
  </r>
  <r>
    <s v="UCAlXUgj-ciriCdqCLXIB7jQ"/>
    <s v="UCHQ7g1xX-e9rghxNR4ChsOg"/>
    <m/>
    <m/>
    <m/>
    <m/>
    <m/>
    <m/>
    <m/>
    <m/>
    <s v="Yes"/>
    <n v="218"/>
    <m/>
    <m/>
    <s v="Commented Video"/>
    <s v="Comment"/>
    <s v="Thank you"/>
    <s v="UCAlXUgj-ciriCdqCLXIB7jQ"/>
    <s v="سعود الريشي"/>
    <s v="http://www.youtube.com/channel/UCAlXUgj-ciriCdqCLXIB7jQ"/>
    <m/>
    <s v="umBP2NJTi7E"/>
    <s v="https://www.youtube.com/watch?v=umBP2NJTi7E"/>
    <s v="none"/>
    <n v="0"/>
    <x v="215"/>
    <d v="2020-06-19T09:31:55.000"/>
    <m/>
    <m/>
    <m/>
    <n v="1"/>
    <s v="9"/>
    <s v="9"/>
    <m/>
    <m/>
    <m/>
    <m/>
    <m/>
    <m/>
    <m/>
    <m/>
    <m/>
  </r>
  <r>
    <s v="UCHQ7g1xX-e9rghxNR4ChsOg"/>
    <s v="UCxTJWLPVQpxER06LVC1fj8w"/>
    <m/>
    <m/>
    <m/>
    <m/>
    <m/>
    <m/>
    <m/>
    <m/>
    <s v="Yes"/>
    <n v="219"/>
    <m/>
    <m/>
    <s v="Replied Comment"/>
    <s v="Reply"/>
    <s v="You&amp;#39;re welcome"/>
    <s v="UCHQ7g1xX-e9rghxNR4ChsOg"/>
    <s v="laxmi skills"/>
    <s v="http://www.youtube.com/channel/UCHQ7g1xX-e9rghxNR4ChsOg"/>
    <s v="UgzjKid0Mb1O49TDHpp4AaABAg"/>
    <s v="umBP2NJTi7E"/>
    <s v="https://www.youtube.com/watch?v=umBP2NJTi7E"/>
    <s v="none"/>
    <n v="0"/>
    <x v="216"/>
    <d v="2020-06-19T11:32:07.000"/>
    <m/>
    <m/>
    <m/>
    <n v="1"/>
    <s v="9"/>
    <s v="9"/>
    <m/>
    <m/>
    <m/>
    <m/>
    <m/>
    <m/>
    <m/>
    <m/>
    <m/>
  </r>
  <r>
    <s v="UCxTJWLPVQpxER06LVC1fj8w"/>
    <s v="UCHQ7g1xX-e9rghxNR4ChsOg"/>
    <m/>
    <m/>
    <m/>
    <m/>
    <m/>
    <m/>
    <m/>
    <m/>
    <s v="Yes"/>
    <n v="220"/>
    <m/>
    <m/>
    <s v="Commented Video"/>
    <s v="Comment"/>
    <s v="Thank you"/>
    <s v="UCxTJWLPVQpxER06LVC1fj8w"/>
    <s v="suresh Kumar"/>
    <s v="http://www.youtube.com/channel/UCxTJWLPVQpxER06LVC1fj8w"/>
    <m/>
    <s v="umBP2NJTi7E"/>
    <s v="https://www.youtube.com/watch?v=umBP2NJTi7E"/>
    <s v="none"/>
    <n v="0"/>
    <x v="217"/>
    <d v="2020-06-19T11:10:30.000"/>
    <m/>
    <m/>
    <m/>
    <n v="1"/>
    <s v="9"/>
    <s v="9"/>
    <m/>
    <m/>
    <m/>
    <m/>
    <m/>
    <m/>
    <m/>
    <m/>
    <m/>
  </r>
  <r>
    <s v="UCz4eajnBYLumJR1qQj2SR9w"/>
    <s v="UCTM43tLnMPEe1n93r_hJIJQ"/>
    <m/>
    <m/>
    <m/>
    <m/>
    <m/>
    <m/>
    <m/>
    <m/>
    <s v="Yes"/>
    <n v="221"/>
    <m/>
    <m/>
    <s v="Replied Comment"/>
    <s v="Reply"/>
    <s v="اظن انه مجاني يكفي تنزيله و ربطه بحساب taalim"/>
    <s v="UCz4eajnBYLumJR1qQj2SR9w"/>
    <s v="رواق التعليم"/>
    <s v="http://www.youtube.com/channel/UCz4eajnBYLumJR1qQj2SR9w"/>
    <s v="UgwlrafYxw5LBx6WrVF4AaABAg"/>
    <s v="FM4zsUFg_iE"/>
    <s v="https://www.youtube.com/watch?v=FM4zsUFg_iE"/>
    <s v="none"/>
    <n v="0"/>
    <x v="218"/>
    <d v="2020-06-19T19:12:51.000"/>
    <m/>
    <m/>
    <m/>
    <n v="1"/>
    <s v="17"/>
    <s v="17"/>
    <m/>
    <m/>
    <m/>
    <m/>
    <m/>
    <m/>
    <m/>
    <m/>
    <m/>
  </r>
  <r>
    <s v="UCTM43tLnMPEe1n93r_hJIJQ"/>
    <s v="UCz4eajnBYLumJR1qQj2SR9w"/>
    <m/>
    <m/>
    <m/>
    <m/>
    <m/>
    <m/>
    <m/>
    <m/>
    <s v="Yes"/>
    <n v="222"/>
    <m/>
    <m/>
    <s v="Commented Video"/>
    <s v="Comment"/>
    <s v="برنامج رائع ماهو سعره"/>
    <s v="UCTM43tLnMPEe1n93r_hJIJQ"/>
    <s v="bureau informatique"/>
    <s v="http://www.youtube.com/channel/UCTM43tLnMPEe1n93r_hJIJQ"/>
    <m/>
    <s v="FM4zsUFg_iE"/>
    <s v="https://www.youtube.com/watch?v=FM4zsUFg_iE"/>
    <s v="none"/>
    <n v="1"/>
    <x v="219"/>
    <d v="2020-06-19T18:33:27.000"/>
    <m/>
    <m/>
    <m/>
    <n v="1"/>
    <s v="17"/>
    <s v="17"/>
    <m/>
    <m/>
    <m/>
    <m/>
    <m/>
    <m/>
    <m/>
    <m/>
    <m/>
  </r>
  <r>
    <s v="UCz4eajnBYLumJR1qQj2SR9w"/>
    <s v="UCh_KxM9jaD6DCzneVuwjXNA"/>
    <m/>
    <m/>
    <m/>
    <m/>
    <m/>
    <m/>
    <m/>
    <m/>
    <s v="Yes"/>
    <n v="223"/>
    <m/>
    <m/>
    <s v="Replied Comment"/>
    <s v="Reply"/>
    <s v="سأبحث عن التتمة و أتقاسمها معكم"/>
    <s v="UCz4eajnBYLumJR1qQj2SR9w"/>
    <s v="رواق التعليم"/>
    <s v="http://www.youtube.com/channel/UCz4eajnBYLumJR1qQj2SR9w"/>
    <s v="UgzqRTgWd6vTEu3t-CV4AaABAg"/>
    <s v="FM4zsUFg_iE"/>
    <s v="https://www.youtube.com/watch?v=FM4zsUFg_iE"/>
    <s v="none"/>
    <n v="1"/>
    <x v="220"/>
    <d v="2020-06-19T19:13:16.000"/>
    <m/>
    <m/>
    <m/>
    <n v="1"/>
    <s v="17"/>
    <s v="17"/>
    <m/>
    <m/>
    <m/>
    <m/>
    <m/>
    <m/>
    <m/>
    <m/>
    <m/>
  </r>
  <r>
    <s v="UCh_KxM9jaD6DCzneVuwjXNA"/>
    <s v="UCz4eajnBYLumJR1qQj2SR9w"/>
    <m/>
    <m/>
    <m/>
    <m/>
    <m/>
    <m/>
    <m/>
    <m/>
    <s v="Yes"/>
    <n v="224"/>
    <m/>
    <m/>
    <s v="Commented Video"/>
    <s v="Comment"/>
    <s v="شيء رائع جدا الله يجزيكم بخير اتمنا تنزيل تتمة التكوين فانا في امس الحاجة اليه"/>
    <s v="UCh_KxM9jaD6DCzneVuwjXNA"/>
    <s v="الطالب الباحث: بدر المرابط"/>
    <s v="http://www.youtube.com/channel/UCh_KxM9jaD6DCzneVuwjXNA"/>
    <m/>
    <s v="FM4zsUFg_iE"/>
    <s v="https://www.youtube.com/watch?v=FM4zsUFg_iE"/>
    <s v="none"/>
    <n v="1"/>
    <x v="221"/>
    <d v="2020-06-19T18:47:06.000"/>
    <m/>
    <m/>
    <m/>
    <n v="1"/>
    <s v="17"/>
    <s v="17"/>
    <m/>
    <m/>
    <m/>
    <m/>
    <m/>
    <m/>
    <m/>
    <m/>
    <m/>
  </r>
  <r>
    <s v="UC050KnRA2lffzEsB1h8uQCw"/>
    <s v="UCvcDnuJmSOuZUEetVKojWeQ"/>
    <m/>
    <m/>
    <m/>
    <m/>
    <m/>
    <m/>
    <m/>
    <m/>
    <s v="Yes"/>
    <n v="225"/>
    <m/>
    <m/>
    <s v="Replied Comment"/>
    <s v="Reply"/>
    <s v="Welcome"/>
    <s v="UC050KnRA2lffzEsB1h8uQCw"/>
    <s v="Teach To Each"/>
    <s v="http://www.youtube.com/channel/UC050KnRA2lffzEsB1h8uQCw"/>
    <s v="UgwLSMFs8EwimuPmysh4AaABAg"/>
    <s v="DBPmRIZMIFY"/>
    <s v="https://www.youtube.com/watch?v=DBPmRIZMIFY"/>
    <s v="none"/>
    <n v="1"/>
    <x v="222"/>
    <d v="2020-06-20T19:34:58.000"/>
    <m/>
    <m/>
    <m/>
    <n v="1"/>
    <s v="3"/>
    <s v="3"/>
    <m/>
    <m/>
    <m/>
    <m/>
    <m/>
    <m/>
    <m/>
    <m/>
    <m/>
  </r>
  <r>
    <s v="UCvcDnuJmSOuZUEetVKojWeQ"/>
    <s v="UC050KnRA2lffzEsB1h8uQCw"/>
    <m/>
    <m/>
    <m/>
    <m/>
    <m/>
    <m/>
    <m/>
    <m/>
    <s v="Yes"/>
    <n v="226"/>
    <m/>
    <m/>
    <s v="Commented Video"/>
    <s v="Comment"/>
    <s v="I am enhancing my knowledge day by day.&lt;br /&gt;Thank you."/>
    <s v="UCvcDnuJmSOuZUEetVKojWeQ"/>
    <s v="manit kanojia"/>
    <s v="http://www.youtube.com/channel/UCvcDnuJmSOuZUEetVKojWeQ"/>
    <m/>
    <s v="DBPmRIZMIFY"/>
    <s v="https://www.youtube.com/watch?v=DBPmRIZMIFY"/>
    <s v="none"/>
    <n v="0"/>
    <x v="223"/>
    <d v="2020-06-20T12:27:35.000"/>
    <m/>
    <m/>
    <m/>
    <n v="1"/>
    <s v="3"/>
    <s v="3"/>
    <m/>
    <m/>
    <m/>
    <m/>
    <m/>
    <m/>
    <m/>
    <m/>
    <m/>
  </r>
  <r>
    <s v="UC050KnRA2lffzEsB1h8uQCw"/>
    <s v="UCGJJ3TcIzi9xorWNF8NYVrw"/>
    <m/>
    <m/>
    <m/>
    <m/>
    <m/>
    <m/>
    <m/>
    <m/>
    <s v="Yes"/>
    <n v="227"/>
    <m/>
    <m/>
    <s v="Replied Comment"/>
    <s v="Reply"/>
    <s v="Thanks"/>
    <s v="UC050KnRA2lffzEsB1h8uQCw"/>
    <s v="Teach To Each"/>
    <s v="http://www.youtube.com/channel/UC050KnRA2lffzEsB1h8uQCw"/>
    <s v="UgxjeTSVM8Vi6Lsr2Dp4AaABAg"/>
    <s v="DBPmRIZMIFY"/>
    <s v="https://www.youtube.com/watch?v=DBPmRIZMIFY"/>
    <s v="none"/>
    <n v="0"/>
    <x v="224"/>
    <d v="2020-06-20T19:34:41.000"/>
    <m/>
    <m/>
    <m/>
    <n v="1"/>
    <s v="3"/>
    <s v="3"/>
    <m/>
    <m/>
    <m/>
    <m/>
    <m/>
    <m/>
    <m/>
    <m/>
    <m/>
  </r>
  <r>
    <s v="UCGJJ3TcIzi9xorWNF8NYVrw"/>
    <s v="UC050KnRA2lffzEsB1h8uQCw"/>
    <m/>
    <m/>
    <m/>
    <m/>
    <m/>
    <m/>
    <m/>
    <m/>
    <s v="Yes"/>
    <n v="228"/>
    <m/>
    <m/>
    <s v="Commented Video"/>
    <s v="Comment"/>
    <s v="great sir"/>
    <s v="UCGJJ3TcIzi9xorWNF8NYVrw"/>
    <s v="ravi ranjan"/>
    <s v="http://www.youtube.com/channel/UCGJJ3TcIzi9xorWNF8NYVrw"/>
    <m/>
    <s v="DBPmRIZMIFY"/>
    <s v="https://www.youtube.com/watch?v=DBPmRIZMIFY"/>
    <s v="none"/>
    <n v="0"/>
    <x v="225"/>
    <d v="2020-06-20T13:22:15.000"/>
    <m/>
    <m/>
    <m/>
    <n v="1"/>
    <s v="3"/>
    <s v="3"/>
    <m/>
    <m/>
    <m/>
    <m/>
    <m/>
    <m/>
    <m/>
    <m/>
    <m/>
  </r>
  <r>
    <s v="UC050KnRA2lffzEsB1h8uQCw"/>
    <s v="UCxmSF_xV8EqQkoPYJL0bQLA"/>
    <m/>
    <m/>
    <m/>
    <m/>
    <m/>
    <m/>
    <m/>
    <m/>
    <s v="Yes"/>
    <n v="229"/>
    <m/>
    <m/>
    <s v="Replied Comment"/>
    <s v="Reply"/>
    <s v="Welcome"/>
    <s v="UC050KnRA2lffzEsB1h8uQCw"/>
    <s v="Teach To Each"/>
    <s v="http://www.youtube.com/channel/UC050KnRA2lffzEsB1h8uQCw"/>
    <s v="Ugx0sK1weqgLzyS96Dl4AaABAg"/>
    <s v="DBPmRIZMIFY"/>
    <s v="https://www.youtube.com/watch?v=DBPmRIZMIFY"/>
    <s v="none"/>
    <n v="0"/>
    <x v="226"/>
    <d v="2020-06-20T19:35:07.000"/>
    <m/>
    <m/>
    <m/>
    <n v="3"/>
    <s v="3"/>
    <s v="3"/>
    <m/>
    <m/>
    <m/>
    <m/>
    <m/>
    <m/>
    <m/>
    <m/>
    <m/>
  </r>
  <r>
    <s v="UCxmSF_xV8EqQkoPYJL0bQLA"/>
    <s v="UC050KnRA2lffzEsB1h8uQCw"/>
    <m/>
    <m/>
    <m/>
    <m/>
    <m/>
    <m/>
    <m/>
    <m/>
    <s v="Yes"/>
    <n v="230"/>
    <m/>
    <m/>
    <s v="Commented Video"/>
    <s v="Comment"/>
    <s v="Thanx ashish bhaiii"/>
    <s v="UCxmSF_xV8EqQkoPYJL0bQLA"/>
    <s v="sukhdev singh"/>
    <s v="http://www.youtube.com/channel/UCxmSF_xV8EqQkoPYJL0bQLA"/>
    <m/>
    <s v="DBPmRIZMIFY"/>
    <s v="https://www.youtube.com/watch?v=DBPmRIZMIFY"/>
    <s v="none"/>
    <n v="0"/>
    <x v="227"/>
    <d v="2020-06-20T10:58:31.000"/>
    <m/>
    <m/>
    <m/>
    <n v="2"/>
    <s v="3"/>
    <s v="3"/>
    <m/>
    <m/>
    <m/>
    <m/>
    <m/>
    <m/>
    <m/>
    <m/>
    <m/>
  </r>
  <r>
    <s v="UC050KnRA2lffzEsB1h8uQCw"/>
    <s v="UCxmSF_xV8EqQkoPYJL0bQLA"/>
    <m/>
    <m/>
    <m/>
    <m/>
    <m/>
    <m/>
    <m/>
    <m/>
    <s v="Yes"/>
    <n v="231"/>
    <m/>
    <m/>
    <s v="Replied Comment"/>
    <s v="Reply"/>
    <s v="Excel ki baat kare to isme hum addins ki help se Power Query ko add kara sakte hai ... Mein koshish karunga ki jald Power Query se related content bhi aap logo ke liye lau"/>
    <s v="UC050KnRA2lffzEsB1h8uQCw"/>
    <s v="Teach To Each"/>
    <s v="http://www.youtube.com/channel/UC050KnRA2lffzEsB1h8uQCw"/>
    <s v="Ugzok_1WVZl3fri-OV54AaABAg"/>
    <s v="DBPmRIZMIFY"/>
    <s v="https://www.youtube.com/watch?v=DBPmRIZMIFY"/>
    <s v="none"/>
    <n v="0"/>
    <x v="228"/>
    <d v="2020-06-20T19:34:10.000"/>
    <m/>
    <m/>
    <m/>
    <n v="3"/>
    <s v="3"/>
    <s v="3"/>
    <m/>
    <m/>
    <m/>
    <m/>
    <m/>
    <m/>
    <m/>
    <m/>
    <m/>
  </r>
  <r>
    <s v="UC050KnRA2lffzEsB1h8uQCw"/>
    <s v="UCxmSF_xV8EqQkoPYJL0bQLA"/>
    <m/>
    <m/>
    <m/>
    <m/>
    <m/>
    <m/>
    <m/>
    <m/>
    <s v="Yes"/>
    <n v="232"/>
    <m/>
    <m/>
    <s v="Replied Comment"/>
    <s v="Reply"/>
    <s v="Power BI or Excel dono me hi almost same hi hai .. Ek jaise options hi hote h power bi me already bata rakha h haan excel me bata dunga"/>
    <s v="UC050KnRA2lffzEsB1h8uQCw"/>
    <s v="Teach To Each"/>
    <s v="http://www.youtube.com/channel/UC050KnRA2lffzEsB1h8uQCw"/>
    <s v="Ugzok_1WVZl3fri-OV54AaABAg"/>
    <s v="DBPmRIZMIFY"/>
    <s v="https://www.youtube.com/watch?v=DBPmRIZMIFY"/>
    <s v="none"/>
    <n v="0"/>
    <x v="229"/>
    <d v="2020-06-21T03:34:49.000"/>
    <m/>
    <m/>
    <m/>
    <n v="3"/>
    <s v="3"/>
    <s v="3"/>
    <m/>
    <m/>
    <m/>
    <m/>
    <m/>
    <m/>
    <m/>
    <m/>
    <m/>
  </r>
  <r>
    <s v="UCxmSF_xV8EqQkoPYJL0bQLA"/>
    <s v="UC050KnRA2lffzEsB1h8uQCw"/>
    <m/>
    <m/>
    <m/>
    <m/>
    <m/>
    <m/>
    <m/>
    <m/>
    <s v="Yes"/>
    <n v="233"/>
    <m/>
    <m/>
    <s v="Commented Video"/>
    <s v="Comment"/>
    <s v="Sir kya hm excel se bhi power query chala sakte hai kya magar excel mai modeling wala option ni mil raha hai....to kya power bi app se hi karna hoga 👍"/>
    <s v="UCxmSF_xV8EqQkoPYJL0bQLA"/>
    <s v="sukhdev singh"/>
    <s v="http://www.youtube.com/channel/UCxmSF_xV8EqQkoPYJL0bQLA"/>
    <m/>
    <s v="DBPmRIZMIFY"/>
    <s v="https://www.youtube.com/watch?v=DBPmRIZMIFY"/>
    <s v="none"/>
    <n v="0"/>
    <x v="230"/>
    <d v="2020-06-20T13:29:18.000"/>
    <m/>
    <m/>
    <m/>
    <n v="2"/>
    <s v="3"/>
    <s v="3"/>
    <m/>
    <m/>
    <m/>
    <m/>
    <m/>
    <m/>
    <m/>
    <m/>
    <m/>
  </r>
  <r>
    <s v="UC5fs7PookxGfDPTo-RU0ReQ"/>
    <s v="UCHSzVUk8Rnb_8pTm2tFIpqw"/>
    <m/>
    <m/>
    <m/>
    <m/>
    <m/>
    <m/>
    <m/>
    <m/>
    <s v="Yes"/>
    <n v="234"/>
    <m/>
    <m/>
    <s v="Replied Comment"/>
    <s v="Reply"/>
    <s v="Power BI tutorial for Beginners 2020&lt;br /&gt;&lt;br /&gt;&lt;a href=&quot;https://www.youtube.com/playlist?list=PL6Omre3duO-NR2EBDPu0MOCXsAVpSIwgX&quot;&gt;https://www.youtube.com/playlist?list=PL6Omre3duO-NR2EBDPu0MOCXsAVpSIwgX&lt;/a&gt;"/>
    <s v="UC5fs7PookxGfDPTo-RU0ReQ"/>
    <s v="Pavan Lalwani"/>
    <s v="http://www.youtube.com/channel/UC5fs7PookxGfDPTo-RU0ReQ"/>
    <s v="UgyfiZRPgDLE3eK93s54AaABAg"/>
    <s v="E6R3U3d90Zs"/>
    <s v="https://www.youtube.com/watch?v=E6R3U3d90Zs"/>
    <s v="none"/>
    <n v="0"/>
    <x v="231"/>
    <d v="2020-06-20T10:14:44.000"/>
    <s v=" https://www.youtube.com/playlist?list=PL6Omre3duO-NR2EBDPu0MOCXsAVpSIwgX https://www.youtube.com/playlist?list=PL6Omre3duO-NR2EBDPu0MOCXsAVpSIwgX"/>
    <s v="youtube.com youtube.com"/>
    <m/>
    <n v="1"/>
    <s v="3"/>
    <s v="3"/>
    <m/>
    <m/>
    <m/>
    <m/>
    <m/>
    <m/>
    <m/>
    <m/>
    <m/>
  </r>
  <r>
    <s v="UCHSzVUk8Rnb_8pTm2tFIpqw"/>
    <s v="UC5fs7PookxGfDPTo-RU0ReQ"/>
    <m/>
    <m/>
    <m/>
    <m/>
    <m/>
    <m/>
    <m/>
    <m/>
    <s v="Yes"/>
    <n v="235"/>
    <m/>
    <m/>
    <s v="Commented Video"/>
    <s v="Comment"/>
    <s v="Waiting For That Sir"/>
    <s v="UCHSzVUk8Rnb_8pTm2tFIpqw"/>
    <s v="KARTHICKRAJA"/>
    <s v="http://www.youtube.com/channel/UCHSzVUk8Rnb_8pTm2tFIpqw"/>
    <m/>
    <s v="E6R3U3d90Zs"/>
    <s v="https://www.youtube.com/watch?v=E6R3U3d90Zs"/>
    <s v="none"/>
    <n v="0"/>
    <x v="232"/>
    <d v="2020-06-20T10:12:18.000"/>
    <m/>
    <m/>
    <m/>
    <n v="1"/>
    <s v="3"/>
    <s v="3"/>
    <m/>
    <m/>
    <m/>
    <m/>
    <m/>
    <m/>
    <m/>
    <m/>
    <m/>
  </r>
  <r>
    <s v="UC5fs7PookxGfDPTo-RU0ReQ"/>
    <s v="UCfhu72jDk7Uxmifji_8B2qg"/>
    <m/>
    <m/>
    <m/>
    <m/>
    <m/>
    <m/>
    <m/>
    <m/>
    <s v="Yes"/>
    <n v="236"/>
    <m/>
    <m/>
    <s v="Replied Comment"/>
    <s v="Reply"/>
    <s v="Hota hai"/>
    <s v="UC5fs7PookxGfDPTo-RU0ReQ"/>
    <s v="Pavan Lalwani"/>
    <s v="http://www.youtube.com/channel/UC5fs7PookxGfDPTo-RU0ReQ"/>
    <s v="Ugzg8HwaDsHW5h-W7Mh4AaABAg"/>
    <s v="E6R3U3d90Zs"/>
    <s v="https://www.youtube.com/watch?v=E6R3U3d90Zs"/>
    <s v="none"/>
    <n v="1"/>
    <x v="233"/>
    <d v="2020-06-20T12:51:20.000"/>
    <m/>
    <m/>
    <m/>
    <n v="1"/>
    <s v="3"/>
    <s v="3"/>
    <m/>
    <m/>
    <m/>
    <m/>
    <m/>
    <m/>
    <m/>
    <m/>
    <m/>
  </r>
  <r>
    <s v="UCfhu72jDk7Uxmifji_8B2qg"/>
    <s v="UC5fs7PookxGfDPTo-RU0ReQ"/>
    <m/>
    <m/>
    <m/>
    <m/>
    <m/>
    <m/>
    <m/>
    <m/>
    <s v="Yes"/>
    <n v="237"/>
    <m/>
    <m/>
    <s v="Commented Video"/>
    <s v="Comment"/>
    <s v="Sir power bi windows 7 me nahi install hota hai"/>
    <s v="UCfhu72jDk7Uxmifji_8B2qg"/>
    <s v="Krishna Shukla"/>
    <s v="http://www.youtube.com/channel/UCfhu72jDk7Uxmifji_8B2qg"/>
    <m/>
    <s v="E6R3U3d90Zs"/>
    <s v="https://www.youtube.com/watch?v=E6R3U3d90Zs"/>
    <s v="none"/>
    <n v="0"/>
    <x v="234"/>
    <d v="2020-06-20T12:48:29.000"/>
    <m/>
    <m/>
    <m/>
    <n v="1"/>
    <s v="3"/>
    <s v="3"/>
    <m/>
    <m/>
    <m/>
    <m/>
    <m/>
    <m/>
    <m/>
    <m/>
    <m/>
  </r>
  <r>
    <s v="UC5fs7PookxGfDPTo-RU0ReQ"/>
    <s v="UCyCaC7wGxDxT93063_XMMQw"/>
    <m/>
    <m/>
    <m/>
    <m/>
    <m/>
    <m/>
    <m/>
    <m/>
    <s v="Yes"/>
    <n v="238"/>
    <m/>
    <m/>
    <s v="Replied Comment"/>
    <s v="Reply"/>
    <s v="Today 2 section videos I have published. &lt;br /&gt;Everyday you will get videos for next one month."/>
    <s v="UC5fs7PookxGfDPTo-RU0ReQ"/>
    <s v="Pavan Lalwani"/>
    <s v="http://www.youtube.com/channel/UC5fs7PookxGfDPTo-RU0ReQ"/>
    <s v="UgzJFETG2TrqhvNAZsN4AaABAg"/>
    <s v="E6R3U3d90Zs"/>
    <s v="https://www.youtube.com/watch?v=E6R3U3d90Zs"/>
    <s v="none"/>
    <n v="0"/>
    <x v="235"/>
    <d v="2020-06-20T12:55:05.000"/>
    <m/>
    <m/>
    <m/>
    <n v="1"/>
    <s v="3"/>
    <s v="3"/>
    <m/>
    <m/>
    <m/>
    <m/>
    <m/>
    <m/>
    <m/>
    <m/>
    <m/>
  </r>
  <r>
    <s v="UCyCaC7wGxDxT93063_XMMQw"/>
    <s v="UC5fs7PookxGfDPTo-RU0ReQ"/>
    <m/>
    <m/>
    <m/>
    <m/>
    <m/>
    <m/>
    <m/>
    <m/>
    <s v="Yes"/>
    <n v="239"/>
    <m/>
    <m/>
    <s v="Commented Video"/>
    <s v="Comment"/>
    <s v="Pavan have u uploaded all videos of POWER BI..... I have seen in Facebook."/>
    <s v="UCyCaC7wGxDxT93063_XMMQw"/>
    <s v="Madhu Sudhan Reddy"/>
    <s v="http://www.youtube.com/channel/UCyCaC7wGxDxT93063_XMMQw"/>
    <m/>
    <s v="E6R3U3d90Zs"/>
    <s v="https://www.youtube.com/watch?v=E6R3U3d90Zs"/>
    <s v="none"/>
    <n v="0"/>
    <x v="236"/>
    <d v="2020-06-20T12:52:24.000"/>
    <m/>
    <m/>
    <m/>
    <n v="1"/>
    <s v="3"/>
    <s v="3"/>
    <m/>
    <m/>
    <m/>
    <m/>
    <m/>
    <m/>
    <m/>
    <m/>
    <m/>
  </r>
  <r>
    <s v="UCjg2kAW7dd0nmCmHrCSVUng"/>
    <s v="UCw9VbBLCPPDHCU8ocVaYbyQ"/>
    <m/>
    <m/>
    <m/>
    <m/>
    <m/>
    <m/>
    <m/>
    <m/>
    <s v="Yes"/>
    <n v="240"/>
    <m/>
    <m/>
    <s v="Replied Comment"/>
    <s v="Reply"/>
    <s v="Welcome"/>
    <s v="UCjg2kAW7dd0nmCmHrCSVUng"/>
    <s v="Learn DAX"/>
    <s v="http://www.youtube.com/channel/UCjg2kAW7dd0nmCmHrCSVUng"/>
    <s v="UgzUVH_zVcYd1lLnFO94AaABAg"/>
    <s v="TgZnMmeXoDI"/>
    <s v="https://www.youtube.com/watch?v=TgZnMmeXoDI"/>
    <s v="none"/>
    <n v="1"/>
    <x v="237"/>
    <d v="2020-06-20T14:10:04.000"/>
    <m/>
    <m/>
    <m/>
    <n v="1"/>
    <s v="3"/>
    <s v="3"/>
    <m/>
    <m/>
    <m/>
    <m/>
    <m/>
    <m/>
    <m/>
    <m/>
    <m/>
  </r>
  <r>
    <s v="UCw9VbBLCPPDHCU8ocVaYbyQ"/>
    <s v="UCjg2kAW7dd0nmCmHrCSVUng"/>
    <m/>
    <m/>
    <m/>
    <m/>
    <m/>
    <m/>
    <m/>
    <m/>
    <s v="Yes"/>
    <n v="241"/>
    <m/>
    <m/>
    <s v="Commented Video"/>
    <s v="Comment"/>
    <s v="Actually same trick I am looking  that how to store alll measure in one single table thanks for this trick🙂"/>
    <s v="UCw9VbBLCPPDHCU8ocVaYbyQ"/>
    <s v="Lucky Mane"/>
    <s v="http://www.youtube.com/channel/UCw9VbBLCPPDHCU8ocVaYbyQ"/>
    <m/>
    <s v="TgZnMmeXoDI"/>
    <s v="https://www.youtube.com/watch?v=TgZnMmeXoDI"/>
    <s v="none"/>
    <n v="1"/>
    <x v="238"/>
    <d v="2020-06-20T12:12:07.000"/>
    <m/>
    <m/>
    <m/>
    <n v="1"/>
    <s v="3"/>
    <s v="3"/>
    <m/>
    <m/>
    <m/>
    <m/>
    <m/>
    <m/>
    <m/>
    <m/>
    <m/>
  </r>
  <r>
    <s v="UC5fs7PookxGfDPTo-RU0ReQ"/>
    <s v="UC1rRu-VgjGKeuGQmoEs_oag"/>
    <m/>
    <m/>
    <m/>
    <m/>
    <m/>
    <m/>
    <m/>
    <m/>
    <s v="Yes"/>
    <n v="242"/>
    <m/>
    <m/>
    <s v="Replied Comment"/>
    <s v="Reply"/>
    <s v="Yes 2 days , it will be loaded on website"/>
    <s v="UC5fs7PookxGfDPTo-RU0ReQ"/>
    <s v="Pavan Lalwani"/>
    <s v="http://www.youtube.com/channel/UC5fs7PookxGfDPTo-RU0ReQ"/>
    <s v="UgyVAP22AUXHIfOR-_54AaABAg"/>
    <s v="YXVWwpLmfr0"/>
    <s v="https://www.youtube.com/watch?v=YXVWwpLmfr0"/>
    <s v="none"/>
    <n v="0"/>
    <x v="239"/>
    <d v="2020-06-20T14:46:39.000"/>
    <m/>
    <m/>
    <m/>
    <n v="2"/>
    <s v="3"/>
    <s v="3"/>
    <m/>
    <m/>
    <m/>
    <m/>
    <m/>
    <m/>
    <m/>
    <m/>
    <m/>
  </r>
  <r>
    <s v="UC1rRu-VgjGKeuGQmoEs_oag"/>
    <s v="UC1rRu-VgjGKeuGQmoEs_oag"/>
    <m/>
    <m/>
    <m/>
    <m/>
    <m/>
    <m/>
    <m/>
    <m/>
    <s v="No"/>
    <n v="243"/>
    <m/>
    <m/>
    <s v="Replied Comment"/>
    <s v="Reply"/>
    <s v="@Pavan Lalwani okk one quetion .....are all the functions available in excel. like modeling feature etc etc"/>
    <s v="UC1rRu-VgjGKeuGQmoEs_oag"/>
    <s v="excel job"/>
    <s v="http://www.youtube.com/channel/UC1rRu-VgjGKeuGQmoEs_oag"/>
    <s v="UgyVAP22AUXHIfOR-_54AaABAg"/>
    <s v="YXVWwpLmfr0"/>
    <s v="https://www.youtube.com/watch?v=YXVWwpLmfr0"/>
    <s v="none"/>
    <n v="0"/>
    <x v="240"/>
    <d v="2020-06-20T14:50:15.000"/>
    <m/>
    <m/>
    <m/>
    <n v="2"/>
    <s v="3"/>
    <s v="3"/>
    <m/>
    <m/>
    <m/>
    <m/>
    <m/>
    <m/>
    <m/>
    <m/>
    <m/>
  </r>
  <r>
    <s v="UC5fs7PookxGfDPTo-RU0ReQ"/>
    <s v="UC1rRu-VgjGKeuGQmoEs_oag"/>
    <m/>
    <m/>
    <m/>
    <m/>
    <m/>
    <m/>
    <m/>
    <m/>
    <s v="Yes"/>
    <n v="244"/>
    <m/>
    <m/>
    <s v="Replied Comment"/>
    <s v="Reply"/>
    <s v="Can you elaborate your question"/>
    <s v="UC5fs7PookxGfDPTo-RU0ReQ"/>
    <s v="Pavan Lalwani"/>
    <s v="http://www.youtube.com/channel/UC5fs7PookxGfDPTo-RU0ReQ"/>
    <s v="UgyVAP22AUXHIfOR-_54AaABAg"/>
    <s v="YXVWwpLmfr0"/>
    <s v="https://www.youtube.com/watch?v=YXVWwpLmfr0"/>
    <s v="none"/>
    <n v="0"/>
    <x v="241"/>
    <d v="2020-06-20T14:52:04.000"/>
    <m/>
    <m/>
    <m/>
    <n v="2"/>
    <s v="3"/>
    <s v="3"/>
    <m/>
    <m/>
    <m/>
    <m/>
    <m/>
    <m/>
    <m/>
    <m/>
    <m/>
  </r>
  <r>
    <s v="UC1rRu-VgjGKeuGQmoEs_oag"/>
    <s v="UC5fs7PookxGfDPTo-RU0ReQ"/>
    <m/>
    <m/>
    <m/>
    <m/>
    <m/>
    <m/>
    <m/>
    <m/>
    <s v="Yes"/>
    <n v="245"/>
    <m/>
    <m/>
    <s v="Commented Video"/>
    <s v="Comment"/>
    <s v="give us practise sheets ??"/>
    <s v="UC1rRu-VgjGKeuGQmoEs_oag"/>
    <s v="excel job"/>
    <s v="http://www.youtube.com/channel/UC1rRu-VgjGKeuGQmoEs_oag"/>
    <m/>
    <s v="YXVWwpLmfr0"/>
    <s v="https://www.youtube.com/watch?v=YXVWwpLmfr0"/>
    <s v="none"/>
    <n v="0"/>
    <x v="242"/>
    <d v="2020-06-20T13:48:25.000"/>
    <m/>
    <m/>
    <m/>
    <n v="1"/>
    <s v="3"/>
    <s v="3"/>
    <m/>
    <m/>
    <m/>
    <m/>
    <m/>
    <m/>
    <m/>
    <m/>
    <m/>
  </r>
  <r>
    <s v="UCjg2kAW7dd0nmCmHrCSVUng"/>
    <s v="UC1rRu-VgjGKeuGQmoEs_oag"/>
    <m/>
    <m/>
    <m/>
    <m/>
    <m/>
    <m/>
    <m/>
    <m/>
    <s v="Yes"/>
    <n v="246"/>
    <m/>
    <m/>
    <s v="Replied Comment"/>
    <s v="Reply"/>
    <s v="Please use the same excel file which is available under introduction video of this playlist"/>
    <s v="UCjg2kAW7dd0nmCmHrCSVUng"/>
    <s v="Learn DAX"/>
    <s v="http://www.youtube.com/channel/UCjg2kAW7dd0nmCmHrCSVUng"/>
    <s v="Ugwdqv6AIRuPoc-inSB4AaABAg"/>
    <s v="TgZnMmeXoDI"/>
    <s v="https://www.youtube.com/watch?v=TgZnMmeXoDI"/>
    <s v="none"/>
    <n v="0"/>
    <x v="243"/>
    <d v="2020-06-20T14:09:54.000"/>
    <m/>
    <m/>
    <m/>
    <n v="1"/>
    <s v="3"/>
    <s v="3"/>
    <m/>
    <m/>
    <m/>
    <m/>
    <m/>
    <m/>
    <m/>
    <m/>
    <m/>
  </r>
  <r>
    <s v="UC1rRu-VgjGKeuGQmoEs_oag"/>
    <s v="UC1rRu-VgjGKeuGQmoEs_oag"/>
    <m/>
    <m/>
    <m/>
    <m/>
    <m/>
    <m/>
    <m/>
    <m/>
    <s v="No"/>
    <n v="247"/>
    <m/>
    <m/>
    <s v="Replied Comment"/>
    <s v="Reply"/>
    <s v="@Learn DAX okk"/>
    <s v="UC1rRu-VgjGKeuGQmoEs_oag"/>
    <s v="excel job"/>
    <s v="http://www.youtube.com/channel/UC1rRu-VgjGKeuGQmoEs_oag"/>
    <s v="Ugwdqv6AIRuPoc-inSB4AaABAg"/>
    <s v="TgZnMmeXoDI"/>
    <s v="https://www.youtube.com/watch?v=TgZnMmeXoDI"/>
    <s v="none"/>
    <n v="0"/>
    <x v="244"/>
    <d v="2020-06-20T14:13:04.000"/>
    <m/>
    <m/>
    <m/>
    <n v="2"/>
    <s v="3"/>
    <s v="3"/>
    <m/>
    <m/>
    <m/>
    <m/>
    <m/>
    <m/>
    <m/>
    <m/>
    <m/>
  </r>
  <r>
    <s v="UC1rRu-VgjGKeuGQmoEs_oag"/>
    <s v="UCjg2kAW7dd0nmCmHrCSVUng"/>
    <m/>
    <m/>
    <m/>
    <m/>
    <m/>
    <m/>
    <m/>
    <m/>
    <s v="Yes"/>
    <n v="248"/>
    <m/>
    <m/>
    <s v="Commented Video"/>
    <s v="Comment"/>
    <s v="file de do"/>
    <s v="UC1rRu-VgjGKeuGQmoEs_oag"/>
    <s v="excel job"/>
    <s v="http://www.youtube.com/channel/UC1rRu-VgjGKeuGQmoEs_oag"/>
    <m/>
    <s v="TgZnMmeXoDI"/>
    <s v="https://www.youtube.com/watch?v=TgZnMmeXoDI"/>
    <s v="none"/>
    <n v="0"/>
    <x v="245"/>
    <d v="2020-06-20T12:41:37.000"/>
    <m/>
    <m/>
    <m/>
    <n v="1"/>
    <s v="3"/>
    <s v="3"/>
    <m/>
    <m/>
    <m/>
    <m/>
    <m/>
    <m/>
    <m/>
    <m/>
    <m/>
  </r>
  <r>
    <s v="UCjg2kAW7dd0nmCmHrCSVUng"/>
    <s v="UC3e_opeaD07W20AIcYMrdPg"/>
    <m/>
    <m/>
    <m/>
    <m/>
    <m/>
    <m/>
    <m/>
    <m/>
    <s v="Yes"/>
    <n v="249"/>
    <m/>
    <m/>
    <s v="Replied Comment"/>
    <s v="Reply"/>
    <s v="Thanks for the huge compliment.&lt;br /&gt;All data files you can download here &lt;a href=&quot;https://www.learndax.com/power-bi-sample-data-for-beginners-to-download/&quot;&gt;https://www.learndax.com/power-bi-sample-data-for-beginners-to-download/&lt;/a&gt;"/>
    <s v="UCjg2kAW7dd0nmCmHrCSVUng"/>
    <s v="Learn DAX"/>
    <s v="http://www.youtube.com/channel/UCjg2kAW7dd0nmCmHrCSVUng"/>
    <s v="Ugy6Dg2hZXJnmPKeyet4AaABAg"/>
    <s v="TgZnMmeXoDI"/>
    <s v="https://www.youtube.com/watch?v=TgZnMmeXoDI"/>
    <s v="none"/>
    <n v="0"/>
    <x v="246"/>
    <d v="2020-06-20T15:50:58.000"/>
    <s v=" https://www.learndax.com/power-bi-sample-data-for-beginners-to-download/ https://www.learndax.com/power-bi-sample-data-for-beginners-to-download/"/>
    <s v="learndax.com learndax.com"/>
    <m/>
    <n v="1"/>
    <s v="3"/>
    <s v="3"/>
    <m/>
    <m/>
    <m/>
    <m/>
    <m/>
    <m/>
    <m/>
    <m/>
    <m/>
  </r>
  <r>
    <s v="UC3e_opeaD07W20AIcYMrdPg"/>
    <s v="UC3e_opeaD07W20AIcYMrdPg"/>
    <m/>
    <m/>
    <m/>
    <m/>
    <m/>
    <m/>
    <m/>
    <m/>
    <s v="No"/>
    <n v="250"/>
    <m/>
    <m/>
    <s v="Replied Comment"/>
    <s v="Reply"/>
    <s v="@Learn DAX thank you sir&lt;br /&gt;Your way of explanation is very awesome 👍👍👍👍👍👍👍"/>
    <s v="UC3e_opeaD07W20AIcYMrdPg"/>
    <s v="ashish mohan"/>
    <s v="http://www.youtube.com/channel/UC3e_opeaD07W20AIcYMrdPg"/>
    <s v="Ugy6Dg2hZXJnmPKeyet4AaABAg"/>
    <s v="TgZnMmeXoDI"/>
    <s v="https://www.youtube.com/watch?v=TgZnMmeXoDI"/>
    <s v="none"/>
    <n v="0"/>
    <x v="247"/>
    <d v="2020-06-20T15:55:41.000"/>
    <m/>
    <m/>
    <m/>
    <n v="1"/>
    <s v="3"/>
    <s v="3"/>
    <m/>
    <m/>
    <m/>
    <m/>
    <m/>
    <m/>
    <m/>
    <m/>
    <m/>
  </r>
  <r>
    <s v="UC3e_opeaD07W20AIcYMrdPg"/>
    <s v="UCjg2kAW7dd0nmCmHrCSVUng"/>
    <m/>
    <m/>
    <m/>
    <m/>
    <m/>
    <m/>
    <m/>
    <m/>
    <s v="Yes"/>
    <n v="251"/>
    <m/>
    <m/>
    <s v="Commented Video"/>
    <s v="Comment"/>
    <s v="Very very useful video for every one&lt;br /&gt;Very big thanks to share with us these kind of useful video&lt;br /&gt;One ore thing can you please also share with us those data file which you used preparation for this video&lt;br /&gt;Kindly attached the file else share the file also👌👌👌👌👌👌👌👌👌👌👌👌👌👌👌👌👌👌👌👌👌👌👌👌👌👌👌👌&lt;br /&gt;Rest your all video for running series is awesome 👍👍👍👍👍👍💐💐💐💐💐💐"/>
    <s v="UC3e_opeaD07W20AIcYMrdPg"/>
    <s v="ashish mohan"/>
    <s v="http://www.youtube.com/channel/UC3e_opeaD07W20AIcYMrdPg"/>
    <m/>
    <s v="TgZnMmeXoDI"/>
    <s v="https://www.youtube.com/watch?v=TgZnMmeXoDI"/>
    <s v="none"/>
    <n v="0"/>
    <x v="248"/>
    <d v="2020-06-20T15:40:47.000"/>
    <m/>
    <m/>
    <m/>
    <n v="1"/>
    <s v="3"/>
    <s v="3"/>
    <m/>
    <m/>
    <m/>
    <m/>
    <m/>
    <m/>
    <m/>
    <m/>
    <m/>
  </r>
  <r>
    <s v="UCaVD0Pzqs2yFHg_6GGfP29w"/>
    <s v="UCxmSF_xV8EqQkoPYJL0bQLA"/>
    <m/>
    <m/>
    <m/>
    <m/>
    <m/>
    <m/>
    <m/>
    <m/>
    <s v="No"/>
    <n v="252"/>
    <m/>
    <m/>
    <s v="Replied Comment"/>
    <s v="Reply"/>
    <s v="Thank u sir"/>
    <s v="UCaVD0Pzqs2yFHg_6GGfP29w"/>
    <s v="ajay malpani"/>
    <s v="http://www.youtube.com/channel/UCaVD0Pzqs2yFHg_6GGfP29w"/>
    <s v="Ugxn3mdH5eWj51vtnHB4AaABAg"/>
    <s v="H84UJn1CiWo"/>
    <s v="https://www.youtube.com/watch?v=H84UJn1CiWo"/>
    <s v="none"/>
    <n v="0"/>
    <x v="249"/>
    <d v="2020-06-20T05:19:14.000"/>
    <m/>
    <m/>
    <m/>
    <n v="1"/>
    <s v="3"/>
    <s v="3"/>
    <m/>
    <m/>
    <m/>
    <m/>
    <m/>
    <m/>
    <m/>
    <m/>
    <m/>
  </r>
  <r>
    <s v="UC5fs7PookxGfDPTo-RU0ReQ"/>
    <s v="UCWKAm6B2pG6i8WkjI6sYmzg"/>
    <m/>
    <m/>
    <m/>
    <m/>
    <m/>
    <m/>
    <m/>
    <m/>
    <s v="Yes"/>
    <n v="253"/>
    <m/>
    <m/>
    <s v="Replied Comment"/>
    <s v="Reply"/>
    <s v="Thank you Ashish"/>
    <s v="UC5fs7PookxGfDPTo-RU0ReQ"/>
    <s v="Pavan Lalwani"/>
    <s v="http://www.youtube.com/channel/UC5fs7PookxGfDPTo-RU0ReQ"/>
    <s v="UgwZUbttXI_T8kWTVwd4AaABAg"/>
    <s v="H84UJn1CiWo"/>
    <s v="https://www.youtube.com/watch?v=H84UJn1CiWo"/>
    <s v="none"/>
    <n v="0"/>
    <x v="250"/>
    <d v="2020-06-20T12:58:06.000"/>
    <m/>
    <m/>
    <m/>
    <n v="1"/>
    <s v="3"/>
    <s v="3"/>
    <m/>
    <m/>
    <m/>
    <m/>
    <m/>
    <m/>
    <m/>
    <m/>
    <m/>
  </r>
  <r>
    <s v="UCWKAm6B2pG6i8WkjI6sYmzg"/>
    <s v="UC5fs7PookxGfDPTo-RU0ReQ"/>
    <m/>
    <m/>
    <m/>
    <m/>
    <m/>
    <m/>
    <m/>
    <m/>
    <s v="Yes"/>
    <n v="254"/>
    <m/>
    <m/>
    <s v="Commented Video"/>
    <s v="Comment"/>
    <s v="Ek hi no explanation"/>
    <s v="UCWKAm6B2pG6i8WkjI6sYmzg"/>
    <s v="ashish barwad"/>
    <s v="http://www.youtube.com/channel/UCWKAm6B2pG6i8WkjI6sYmzg"/>
    <m/>
    <s v="H84UJn1CiWo"/>
    <s v="https://www.youtube.com/watch?v=H84UJn1CiWo"/>
    <s v="none"/>
    <n v="0"/>
    <x v="251"/>
    <d v="2020-06-20T05:31:33.000"/>
    <m/>
    <m/>
    <m/>
    <n v="1"/>
    <s v="3"/>
    <s v="3"/>
    <m/>
    <m/>
    <m/>
    <m/>
    <m/>
    <m/>
    <m/>
    <m/>
    <m/>
  </r>
  <r>
    <s v="UC5fs7PookxGfDPTo-RU0ReQ"/>
    <s v="UCo2q0TUJMy4m0muhRo0LesQ"/>
    <m/>
    <m/>
    <m/>
    <m/>
    <m/>
    <m/>
    <m/>
    <m/>
    <s v="Yes"/>
    <n v="255"/>
    <m/>
    <m/>
    <s v="Replied Comment"/>
    <s v="Reply"/>
    <s v="Thank you Sir"/>
    <s v="UC5fs7PookxGfDPTo-RU0ReQ"/>
    <s v="Pavan Lalwani"/>
    <s v="http://www.youtube.com/channel/UC5fs7PookxGfDPTo-RU0ReQ"/>
    <s v="UgwQn5EZChsO8P7SPjJ4AaABAg"/>
    <s v="H84UJn1CiWo"/>
    <s v="https://www.youtube.com/watch?v=H84UJn1CiWo"/>
    <s v="none"/>
    <n v="0"/>
    <x v="252"/>
    <d v="2020-06-20T12:57:57.000"/>
    <m/>
    <m/>
    <m/>
    <n v="1"/>
    <s v="3"/>
    <s v="3"/>
    <m/>
    <m/>
    <m/>
    <m/>
    <m/>
    <m/>
    <m/>
    <m/>
    <m/>
  </r>
  <r>
    <s v="UCo2q0TUJMy4m0muhRo0LesQ"/>
    <s v="UC5fs7PookxGfDPTo-RU0ReQ"/>
    <m/>
    <m/>
    <m/>
    <m/>
    <m/>
    <m/>
    <m/>
    <m/>
    <s v="Yes"/>
    <n v="256"/>
    <m/>
    <m/>
    <s v="Commented Video"/>
    <s v="Comment"/>
    <s v="Wow great"/>
    <s v="UCo2q0TUJMy4m0muhRo0LesQ"/>
    <s v="Pravin Singh"/>
    <s v="http://www.youtube.com/channel/UCo2q0TUJMy4m0muhRo0LesQ"/>
    <m/>
    <s v="H84UJn1CiWo"/>
    <s v="https://www.youtube.com/watch?v=H84UJn1CiWo"/>
    <s v="none"/>
    <n v="0"/>
    <x v="253"/>
    <d v="2020-06-20T08:26:01.000"/>
    <m/>
    <m/>
    <m/>
    <n v="1"/>
    <s v="3"/>
    <s v="3"/>
    <m/>
    <m/>
    <m/>
    <m/>
    <m/>
    <m/>
    <m/>
    <m/>
    <m/>
  </r>
  <r>
    <s v="UC5fs7PookxGfDPTo-RU0ReQ"/>
    <s v="UCXjKRWc69RlJCxL6YGPdH8g"/>
    <m/>
    <m/>
    <m/>
    <m/>
    <m/>
    <m/>
    <m/>
    <m/>
    <s v="Yes"/>
    <n v="257"/>
    <m/>
    <m/>
    <s v="Replied Comment"/>
    <s v="Reply"/>
    <s v="Yes daily videos would be uploaded. Power Query, Power Pivot , DAX and M language.&lt;br /&gt;&lt;br /&gt;Try to spread more about this course."/>
    <s v="UC5fs7PookxGfDPTo-RU0ReQ"/>
    <s v="Pavan Lalwani"/>
    <s v="http://www.youtube.com/channel/UC5fs7PookxGfDPTo-RU0ReQ"/>
    <s v="Ugzf9zQNgUrLXA9TqHl4AaABAg"/>
    <s v="H84UJn1CiWo"/>
    <s v="https://www.youtube.com/watch?v=H84UJn1CiWo"/>
    <s v="none"/>
    <n v="0"/>
    <x v="254"/>
    <d v="2020-06-20T14:45:57.000"/>
    <m/>
    <m/>
    <m/>
    <n v="2"/>
    <s v="3"/>
    <s v="3"/>
    <m/>
    <m/>
    <m/>
    <m/>
    <m/>
    <m/>
    <m/>
    <m/>
    <m/>
  </r>
  <r>
    <s v="UCXjKRWc69RlJCxL6YGPdH8g"/>
    <s v="UC5fs7PookxGfDPTo-RU0ReQ"/>
    <m/>
    <m/>
    <m/>
    <m/>
    <m/>
    <m/>
    <m/>
    <m/>
    <s v="Yes"/>
    <n v="258"/>
    <m/>
    <m/>
    <s v="Commented Video"/>
    <s v="Comment"/>
    <s v="Power qurery and pivot v complete....krde pllllzzzz"/>
    <s v="UCXjKRWc69RlJCxL6YGPdH8g"/>
    <s v="SAKET KUMAR"/>
    <s v="http://www.youtube.com/channel/UCXjKRWc69RlJCxL6YGPdH8g"/>
    <m/>
    <s v="H84UJn1CiWo"/>
    <s v="https://www.youtube.com/watch?v=H84UJn1CiWo"/>
    <s v="none"/>
    <n v="0"/>
    <x v="255"/>
    <d v="2020-06-20T13:06:14.000"/>
    <m/>
    <m/>
    <m/>
    <n v="2"/>
    <s v="3"/>
    <s v="3"/>
    <m/>
    <m/>
    <m/>
    <m/>
    <m/>
    <m/>
    <m/>
    <m/>
    <m/>
  </r>
  <r>
    <s v="UC5fs7PookxGfDPTo-RU0ReQ"/>
    <s v="UCXjKRWc69RlJCxL6YGPdH8g"/>
    <m/>
    <m/>
    <m/>
    <m/>
    <m/>
    <m/>
    <m/>
    <m/>
    <s v="Yes"/>
    <n v="259"/>
    <m/>
    <m/>
    <s v="Replied Comment"/>
    <s v="Reply"/>
    <s v="Pls type here your query , I will surely try to resolve"/>
    <s v="UC5fs7PookxGfDPTo-RU0ReQ"/>
    <s v="Pavan Lalwani"/>
    <s v="http://www.youtube.com/channel/UC5fs7PookxGfDPTo-RU0ReQ"/>
    <s v="Ugz0x2XNgSRUGsVsBEN4AaABAg"/>
    <s v="H84UJn1CiWo"/>
    <s v="https://www.youtube.com/watch?v=H84UJn1CiWo"/>
    <s v="none"/>
    <n v="0"/>
    <x v="256"/>
    <d v="2020-06-20T14:46:18.000"/>
    <m/>
    <m/>
    <m/>
    <n v="2"/>
    <s v="3"/>
    <s v="3"/>
    <m/>
    <m/>
    <m/>
    <m/>
    <m/>
    <m/>
    <m/>
    <m/>
    <m/>
  </r>
  <r>
    <s v="UCXjKRWc69RlJCxL6YGPdH8g"/>
    <s v="UC5fs7PookxGfDPTo-RU0ReQ"/>
    <m/>
    <m/>
    <m/>
    <m/>
    <m/>
    <m/>
    <m/>
    <m/>
    <s v="Yes"/>
    <n v="260"/>
    <m/>
    <m/>
    <s v="Commented Video"/>
    <s v="Comment"/>
    <s v="Can I talk to u9711731924"/>
    <s v="UCXjKRWc69RlJCxL6YGPdH8g"/>
    <s v="SAKET KUMAR"/>
    <s v="http://www.youtube.com/channel/UCXjKRWc69RlJCxL6YGPdH8g"/>
    <m/>
    <s v="H84UJn1CiWo"/>
    <s v="https://www.youtube.com/watch?v=H84UJn1CiWo"/>
    <s v="none"/>
    <n v="0"/>
    <x v="257"/>
    <d v="2020-06-20T13:07:03.000"/>
    <m/>
    <m/>
    <m/>
    <n v="2"/>
    <s v="3"/>
    <s v="3"/>
    <m/>
    <m/>
    <m/>
    <m/>
    <m/>
    <m/>
    <m/>
    <m/>
    <m/>
  </r>
  <r>
    <s v="UC5fs7PookxGfDPTo-RU0ReQ"/>
    <s v="UCqdha8jegBrqZ6Z2JlSJFkQ"/>
    <m/>
    <m/>
    <m/>
    <m/>
    <m/>
    <m/>
    <m/>
    <m/>
    <s v="Yes"/>
    <n v="261"/>
    <m/>
    <m/>
    <s v="Replied Comment"/>
    <s v="Reply"/>
    <s v="Thank you Anu :)&lt;br /&gt;Share the good work further."/>
    <s v="UC5fs7PookxGfDPTo-RU0ReQ"/>
    <s v="Pavan Lalwani"/>
    <s v="http://www.youtube.com/channel/UC5fs7PookxGfDPTo-RU0ReQ"/>
    <s v="UgxX_i4MksBNQYFze8J4AaABAg"/>
    <s v="H84UJn1CiWo"/>
    <s v="https://www.youtube.com/watch?v=H84UJn1CiWo"/>
    <s v="none"/>
    <n v="0"/>
    <x v="258"/>
    <d v="2020-06-20T12:57:48.000"/>
    <m/>
    <m/>
    <m/>
    <n v="2"/>
    <s v="3"/>
    <s v="3"/>
    <m/>
    <m/>
    <m/>
    <m/>
    <m/>
    <m/>
    <m/>
    <m/>
    <m/>
  </r>
  <r>
    <s v="UCqdha8jegBrqZ6Z2JlSJFkQ"/>
    <s v="UC5fs7PookxGfDPTo-RU0ReQ"/>
    <m/>
    <m/>
    <m/>
    <m/>
    <m/>
    <m/>
    <m/>
    <m/>
    <s v="Yes"/>
    <n v="262"/>
    <m/>
    <m/>
    <s v="Commented Video"/>
    <s v="Comment"/>
    <s v="Crystal Clear explanation...love all your videos. Thanks for this course, it is very useful for my work"/>
    <s v="UCqdha8jegBrqZ6Z2JlSJFkQ"/>
    <s v="Anu M"/>
    <s v="http://www.youtube.com/channel/UCqdha8jegBrqZ6Z2JlSJFkQ"/>
    <m/>
    <s v="H84UJn1CiWo"/>
    <s v="https://www.youtube.com/watch?v=H84UJn1CiWo"/>
    <s v="none"/>
    <n v="0"/>
    <x v="259"/>
    <d v="2020-06-20T12:03:16.000"/>
    <m/>
    <m/>
    <m/>
    <n v="2"/>
    <s v="3"/>
    <s v="3"/>
    <m/>
    <m/>
    <m/>
    <m/>
    <m/>
    <m/>
    <m/>
    <m/>
    <m/>
  </r>
  <r>
    <s v="UC5fs7PookxGfDPTo-RU0ReQ"/>
    <s v="UCqdha8jegBrqZ6Z2JlSJFkQ"/>
    <m/>
    <m/>
    <m/>
    <m/>
    <m/>
    <m/>
    <m/>
    <m/>
    <s v="Yes"/>
    <n v="263"/>
    <m/>
    <m/>
    <s v="Replied Comment"/>
    <s v="Reply"/>
    <s v="I am not good into that"/>
    <s v="UC5fs7PookxGfDPTo-RU0ReQ"/>
    <s v="Pavan Lalwani"/>
    <s v="http://www.youtube.com/channel/UC5fs7PookxGfDPTo-RU0ReQ"/>
    <s v="UgxT4eizVAkTC2YSIv94AaABAg"/>
    <s v="H84UJn1CiWo"/>
    <s v="https://www.youtube.com/watch?v=H84UJn1CiWo"/>
    <s v="none"/>
    <n v="0"/>
    <x v="260"/>
    <d v="2020-06-20T17:44:19.000"/>
    <m/>
    <m/>
    <m/>
    <n v="2"/>
    <s v="3"/>
    <s v="3"/>
    <m/>
    <m/>
    <m/>
    <m/>
    <m/>
    <m/>
    <m/>
    <m/>
    <m/>
  </r>
  <r>
    <s v="UCqdha8jegBrqZ6Z2JlSJFkQ"/>
    <s v="UC5fs7PookxGfDPTo-RU0ReQ"/>
    <m/>
    <m/>
    <m/>
    <m/>
    <m/>
    <m/>
    <m/>
    <m/>
    <s v="Yes"/>
    <n v="264"/>
    <m/>
    <m/>
    <s v="Commented Video"/>
    <s v="Comment"/>
    <s v="pls put a course on operational excellence too..thanks"/>
    <s v="UCqdha8jegBrqZ6Z2JlSJFkQ"/>
    <s v="Anu M"/>
    <s v="http://www.youtube.com/channel/UCqdha8jegBrqZ6Z2JlSJFkQ"/>
    <m/>
    <s v="H84UJn1CiWo"/>
    <s v="https://www.youtube.com/watch?v=H84UJn1CiWo"/>
    <s v="none"/>
    <n v="0"/>
    <x v="261"/>
    <d v="2020-06-20T14:47:54.000"/>
    <m/>
    <m/>
    <m/>
    <n v="2"/>
    <s v="3"/>
    <s v="3"/>
    <m/>
    <m/>
    <m/>
    <m/>
    <m/>
    <m/>
    <m/>
    <m/>
    <m/>
  </r>
  <r>
    <s v="UC5fs7PookxGfDPTo-RU0ReQ"/>
    <s v="UC-uHDm8uihmHB6tbP3eSvlw"/>
    <m/>
    <m/>
    <m/>
    <m/>
    <m/>
    <m/>
    <m/>
    <m/>
    <s v="Yes"/>
    <n v="265"/>
    <m/>
    <m/>
    <s v="Replied Comment"/>
    <s v="Reply"/>
    <s v="Regards&lt;br /&gt;Pavan &lt;br /&gt;Surely will keep posting videos"/>
    <s v="UC5fs7PookxGfDPTo-RU0ReQ"/>
    <s v="Pavan Lalwani"/>
    <s v="http://www.youtube.com/channel/UC5fs7PookxGfDPTo-RU0ReQ"/>
    <s v="UgyX4ktmOGlEKTlQqNV4AaABAg"/>
    <s v="H84UJn1CiWo"/>
    <s v="https://www.youtube.com/watch?v=H84UJn1CiWo"/>
    <s v="none"/>
    <n v="0"/>
    <x v="262"/>
    <d v="2020-06-20T17:44:50.000"/>
    <m/>
    <m/>
    <m/>
    <n v="1"/>
    <s v="3"/>
    <s v="3"/>
    <m/>
    <m/>
    <m/>
    <m/>
    <m/>
    <m/>
    <m/>
    <m/>
    <m/>
  </r>
  <r>
    <s v="UC-uHDm8uihmHB6tbP3eSvlw"/>
    <s v="UC5fs7PookxGfDPTo-RU0ReQ"/>
    <m/>
    <m/>
    <m/>
    <m/>
    <m/>
    <m/>
    <m/>
    <m/>
    <s v="Yes"/>
    <n v="266"/>
    <m/>
    <m/>
    <s v="Commented Video"/>
    <s v="Comment"/>
    <s v="Good Presentation and I am very eagerly waiting for more videos on Power BI. Thanks Pawan."/>
    <s v="UC-uHDm8uihmHB6tbP3eSvlw"/>
    <s v="Suresh Seethapathy"/>
    <s v="http://www.youtube.com/channel/UC-uHDm8uihmHB6tbP3eSvlw"/>
    <m/>
    <s v="H84UJn1CiWo"/>
    <s v="https://www.youtube.com/watch?v=H84UJn1CiWo"/>
    <s v="none"/>
    <n v="0"/>
    <x v="263"/>
    <d v="2020-06-20T16:20:55.000"/>
    <m/>
    <m/>
    <m/>
    <n v="1"/>
    <s v="3"/>
    <s v="3"/>
    <m/>
    <m/>
    <m/>
    <m/>
    <m/>
    <m/>
    <m/>
    <m/>
    <m/>
  </r>
  <r>
    <s v="UC5fs7PookxGfDPTo-RU0ReQ"/>
    <s v="UCBmtHMjCvI_0soJvCAee7nA"/>
    <m/>
    <m/>
    <m/>
    <m/>
    <m/>
    <m/>
    <m/>
    <m/>
    <s v="Yes"/>
    <n v="267"/>
    <m/>
    <m/>
    <s v="Replied Comment"/>
    <s v="Reply"/>
    <s v="Signup is in Section 10. Will release video soon !!!"/>
    <s v="UC5fs7PookxGfDPTo-RU0ReQ"/>
    <s v="Pavan Lalwani"/>
    <s v="http://www.youtube.com/channel/UC5fs7PookxGfDPTo-RU0ReQ"/>
    <s v="UgyeBJNRpsGCoYzTMbt4AaABAg"/>
    <s v="reMTzRcLzBw"/>
    <s v="https://www.youtube.com/watch?v=reMTzRcLzBw"/>
    <s v="none"/>
    <n v="0"/>
    <x v="264"/>
    <d v="2020-06-20T09:58:09.000"/>
    <m/>
    <m/>
    <m/>
    <n v="1"/>
    <s v="3"/>
    <s v="3"/>
    <m/>
    <m/>
    <m/>
    <m/>
    <m/>
    <m/>
    <m/>
    <m/>
    <m/>
  </r>
  <r>
    <s v="UCBmtHMjCvI_0soJvCAee7nA"/>
    <s v="UC5fs7PookxGfDPTo-RU0ReQ"/>
    <m/>
    <m/>
    <m/>
    <m/>
    <m/>
    <m/>
    <m/>
    <m/>
    <s v="Yes"/>
    <n v="268"/>
    <m/>
    <m/>
    <s v="Commented Video"/>
    <s v="Comment"/>
    <s v="Hi Pavan,&lt;br /&gt;&lt;br /&gt;Supreb demo!!Please emphasize on Signup part as some us are unable to signup with orgnization email-id,what could be the reason?"/>
    <s v="UCBmtHMjCvI_0soJvCAee7nA"/>
    <s v="Hemant Gund"/>
    <s v="http://www.youtube.com/channel/UCBmtHMjCvI_0soJvCAee7nA"/>
    <m/>
    <s v="reMTzRcLzBw"/>
    <s v="https://www.youtube.com/watch?v=reMTzRcLzBw"/>
    <s v="none"/>
    <n v="0"/>
    <x v="265"/>
    <d v="2020-06-20T09:48:07.000"/>
    <m/>
    <m/>
    <m/>
    <n v="1"/>
    <s v="3"/>
    <s v="3"/>
    <m/>
    <m/>
    <m/>
    <m/>
    <m/>
    <m/>
    <m/>
    <m/>
    <m/>
  </r>
  <r>
    <s v="UC5fs7PookxGfDPTo-RU0ReQ"/>
    <s v="UCxmSF_xV8EqQkoPYJL0bQLA"/>
    <m/>
    <m/>
    <m/>
    <m/>
    <m/>
    <m/>
    <m/>
    <m/>
    <s v="Yes"/>
    <n v="269"/>
    <m/>
    <m/>
    <s v="Replied Comment"/>
    <s v="Reply"/>
    <s v="POWER BI"/>
    <s v="UC5fs7PookxGfDPTo-RU0ReQ"/>
    <s v="Pavan Lalwani"/>
    <s v="http://www.youtube.com/channel/UC5fs7PookxGfDPTo-RU0ReQ"/>
    <s v="Ugxn3mdH5eWj51vtnHB4AaABAg"/>
    <s v="H84UJn1CiWo"/>
    <s v="https://www.youtube.com/watch?v=H84UJn1CiWo"/>
    <s v="none"/>
    <n v="0"/>
    <x v="266"/>
    <d v="2020-06-19T22:07:01.000"/>
    <m/>
    <m/>
    <m/>
    <n v="1"/>
    <s v="3"/>
    <s v="3"/>
    <m/>
    <m/>
    <m/>
    <m/>
    <m/>
    <m/>
    <m/>
    <m/>
    <m/>
  </r>
  <r>
    <s v="UCxmSF_xV8EqQkoPYJL0bQLA"/>
    <s v="UC5fs7PookxGfDPTo-RU0ReQ"/>
    <m/>
    <m/>
    <m/>
    <m/>
    <m/>
    <m/>
    <m/>
    <m/>
    <s v="Yes"/>
    <n v="270"/>
    <m/>
    <m/>
    <s v="Commented Video"/>
    <s v="Comment"/>
    <s v="Thanx sir....I have done excel and excel vba and &lt;a href=&quot;http://vba.net/&quot;&gt;vba.net.&lt;/a&gt;......&lt;br /&gt;Now what should I do ....access,sql server , power bi ....Python etc etc.."/>
    <s v="UCxmSF_xV8EqQkoPYJL0bQLA"/>
    <s v="sukhdev singh"/>
    <s v="http://www.youtube.com/channel/UCxmSF_xV8EqQkoPYJL0bQLA"/>
    <m/>
    <s v="H84UJn1CiWo"/>
    <s v="https://www.youtube.com/watch?v=H84UJn1CiWo"/>
    <s v="none"/>
    <n v="0"/>
    <x v="267"/>
    <d v="2020-06-19T21:15:28.000"/>
    <s v=" http://vba.net/"/>
    <s v="vba.net"/>
    <m/>
    <n v="1"/>
    <s v="3"/>
    <s v="3"/>
    <m/>
    <m/>
    <m/>
    <m/>
    <m/>
    <m/>
    <m/>
    <m/>
    <m/>
  </r>
  <r>
    <s v="UC5fs7PookxGfDPTo-RU0ReQ"/>
    <s v="UCHk7yTkeOaJiuYwAYHciXdA"/>
    <m/>
    <m/>
    <m/>
    <m/>
    <m/>
    <m/>
    <m/>
    <m/>
    <s v="Yes"/>
    <n v="271"/>
    <m/>
    <m/>
    <s v="Replied Comment"/>
    <s v="Reply"/>
    <s v="Santosh, can you tell me video numbers"/>
    <s v="UC5fs7PookxGfDPTo-RU0ReQ"/>
    <s v="Pavan Lalwani"/>
    <s v="http://www.youtube.com/channel/UC5fs7PookxGfDPTo-RU0ReQ"/>
    <s v="UgzjQgmPsZv_GYraFUx4AaABAg"/>
    <s v="reMTzRcLzBw"/>
    <s v="https://www.youtube.com/watch?v=reMTzRcLzBw"/>
    <s v="none"/>
    <n v="0"/>
    <x v="268"/>
    <d v="2020-06-20T14:44:33.000"/>
    <m/>
    <m/>
    <m/>
    <n v="1"/>
    <s v="3"/>
    <s v="3"/>
    <m/>
    <m/>
    <m/>
    <m/>
    <m/>
    <m/>
    <m/>
    <m/>
    <m/>
  </r>
  <r>
    <s v="UCHk7yTkeOaJiuYwAYHciXdA"/>
    <s v="UC5fs7PookxGfDPTo-RU0ReQ"/>
    <m/>
    <m/>
    <m/>
    <m/>
    <m/>
    <m/>
    <m/>
    <m/>
    <s v="Yes"/>
    <n v="272"/>
    <m/>
    <m/>
    <s v="Commented Video"/>
    <s v="Comment"/>
    <s v="Hi Pawan, Videos are not in order.. Should come one by one..!! that will be great..!!"/>
    <s v="UCHk7yTkeOaJiuYwAYHciXdA"/>
    <s v="Santosh Gupta"/>
    <s v="http://www.youtube.com/channel/UCHk7yTkeOaJiuYwAYHciXdA"/>
    <m/>
    <s v="reMTzRcLzBw"/>
    <s v="https://www.youtube.com/watch?v=reMTzRcLzBw"/>
    <s v="none"/>
    <n v="0"/>
    <x v="269"/>
    <d v="2020-06-20T14:17:07.000"/>
    <m/>
    <m/>
    <m/>
    <n v="1"/>
    <s v="3"/>
    <s v="3"/>
    <m/>
    <m/>
    <m/>
    <m/>
    <m/>
    <m/>
    <m/>
    <m/>
    <m/>
  </r>
  <r>
    <s v="UCR5WT6Lkv9pdX_xsvQ6YyDg"/>
    <s v="UCJNf_zUjSFMnCJSjjr2I2cw"/>
    <m/>
    <m/>
    <m/>
    <m/>
    <m/>
    <m/>
    <m/>
    <m/>
    <s v="Yes"/>
    <n v="273"/>
    <m/>
    <m/>
    <s v="Replied Comment"/>
    <s v="Reply"/>
    <s v="Carlos, Thanks for following my tutorials. Yes, I&amp;#39;m working on it. I&amp;#39;ll upload it next Saturday. Stay tuned."/>
    <s v="UCR5WT6Lkv9pdX_xsvQ6YyDg"/>
    <s v="Nestor Adrianzen"/>
    <s v="http://www.youtube.com/channel/UCR5WT6Lkv9pdX_xsvQ6YyDg"/>
    <s v="UgyqX18sP3EfOmEoFJx4AaABAg"/>
    <s v="6vJIAJNTdG0"/>
    <s v="https://www.youtube.com/watch?v=6vJIAJNTdG0"/>
    <s v="none"/>
    <n v="1"/>
    <x v="270"/>
    <d v="2020-06-20T16:34:28.000"/>
    <m/>
    <m/>
    <m/>
    <n v="1"/>
    <s v="8"/>
    <s v="8"/>
    <m/>
    <m/>
    <m/>
    <m/>
    <m/>
    <m/>
    <m/>
    <m/>
    <m/>
  </r>
  <r>
    <s v="UCJNf_zUjSFMnCJSjjr2I2cw"/>
    <s v="UCR5WT6Lkv9pdX_xsvQ6YyDg"/>
    <m/>
    <m/>
    <m/>
    <m/>
    <m/>
    <m/>
    <m/>
    <m/>
    <s v="Yes"/>
    <n v="274"/>
    <m/>
    <m/>
    <s v="Commented Video"/>
    <s v="Comment"/>
    <s v="In spanish first please, speed speed, jeejje. Thanks a lot"/>
    <s v="UCJNf_zUjSFMnCJSjjr2I2cw"/>
    <s v="Carlos Alvarez Solis"/>
    <s v="http://www.youtube.com/channel/UCJNf_zUjSFMnCJSjjr2I2cw"/>
    <m/>
    <s v="6vJIAJNTdG0"/>
    <s v="https://www.youtube.com/watch?v=6vJIAJNTdG0"/>
    <s v="none"/>
    <n v="1"/>
    <x v="271"/>
    <d v="2020-06-20T15:31:27.000"/>
    <m/>
    <m/>
    <m/>
    <n v="1"/>
    <s v="8"/>
    <s v="8"/>
    <m/>
    <m/>
    <m/>
    <m/>
    <m/>
    <m/>
    <m/>
    <m/>
    <m/>
  </r>
  <r>
    <s v="UCR5WT6Lkv9pdX_xsvQ6YyDg"/>
    <s v="UCOnfASrbw0effD5EpxKpnmA"/>
    <m/>
    <m/>
    <m/>
    <m/>
    <m/>
    <m/>
    <m/>
    <m/>
    <s v="Yes"/>
    <n v="275"/>
    <m/>
    <m/>
    <s v="Replied Comment"/>
    <s v="Reply"/>
    <s v="Glad you found this tutorial helpful, Mohd. Keep up the good work!"/>
    <s v="UCR5WT6Lkv9pdX_xsvQ6YyDg"/>
    <s v="Nestor Adrianzen"/>
    <s v="http://www.youtube.com/channel/UCR5WT6Lkv9pdX_xsvQ6YyDg"/>
    <s v="UgyuB98lsQbXjD4YkQh4AaABAg"/>
    <s v="6vJIAJNTdG0"/>
    <s v="https://www.youtube.com/watch?v=6vJIAJNTdG0"/>
    <s v="none"/>
    <n v="0"/>
    <x v="272"/>
    <d v="2020-06-21T04:02:13.000"/>
    <m/>
    <m/>
    <m/>
    <n v="1"/>
    <s v="8"/>
    <s v="8"/>
    <m/>
    <m/>
    <m/>
    <m/>
    <m/>
    <m/>
    <m/>
    <m/>
    <m/>
  </r>
  <r>
    <s v="UCOnfASrbw0effD5EpxKpnmA"/>
    <s v="UCR5WT6Lkv9pdX_xsvQ6YyDg"/>
    <m/>
    <m/>
    <m/>
    <m/>
    <m/>
    <m/>
    <m/>
    <m/>
    <s v="Yes"/>
    <n v="276"/>
    <m/>
    <m/>
    <s v="Commented Video"/>
    <s v="Comment"/>
    <s v="Found very useful thank you"/>
    <s v="UCOnfASrbw0effD5EpxKpnmA"/>
    <s v="mohd muzammil"/>
    <s v="http://www.youtube.com/channel/UCOnfASrbw0effD5EpxKpnmA"/>
    <m/>
    <s v="6vJIAJNTdG0"/>
    <s v="https://www.youtube.com/watch?v=6vJIAJNTdG0"/>
    <s v="none"/>
    <n v="0"/>
    <x v="273"/>
    <d v="2020-06-20T22:00:09.000"/>
    <m/>
    <m/>
    <m/>
    <n v="1"/>
    <s v="8"/>
    <s v="8"/>
    <m/>
    <m/>
    <m/>
    <m/>
    <m/>
    <m/>
    <m/>
    <m/>
    <m/>
  </r>
  <r>
    <s v="UCHQ7g1xX-e9rghxNR4ChsOg"/>
    <s v="UCKhZm9FwH3Agf6k2p_OIsAQ"/>
    <m/>
    <m/>
    <m/>
    <m/>
    <m/>
    <m/>
    <m/>
    <m/>
    <s v="Yes"/>
    <n v="277"/>
    <m/>
    <m/>
    <s v="Replied Comment"/>
    <s v="Reply"/>
    <s v="Thanks"/>
    <s v="UCHQ7g1xX-e9rghxNR4ChsOg"/>
    <s v="laxmi skills"/>
    <s v="http://www.youtube.com/channel/UCHQ7g1xX-e9rghxNR4ChsOg"/>
    <s v="UgzMXEO2cK-UYJVKxVJ4AaABAg"/>
    <s v="XDmnHdGD5iE"/>
    <s v="https://www.youtube.com/watch?v=XDmnHdGD5iE"/>
    <s v="none"/>
    <n v="0"/>
    <x v="274"/>
    <d v="2020-06-20T16:02:51.000"/>
    <m/>
    <m/>
    <m/>
    <n v="1"/>
    <s v="9"/>
    <s v="9"/>
    <m/>
    <m/>
    <m/>
    <m/>
    <m/>
    <m/>
    <m/>
    <m/>
    <m/>
  </r>
  <r>
    <s v="UCKhZm9FwH3Agf6k2p_OIsAQ"/>
    <s v="UCHQ7g1xX-e9rghxNR4ChsOg"/>
    <m/>
    <m/>
    <m/>
    <m/>
    <m/>
    <m/>
    <m/>
    <m/>
    <s v="Yes"/>
    <n v="278"/>
    <m/>
    <m/>
    <s v="Commented Video"/>
    <s v="Comment"/>
    <s v="Nice"/>
    <s v="UCKhZm9FwH3Agf6k2p_OIsAQ"/>
    <s v="Way2Excel"/>
    <s v="http://www.youtube.com/channel/UCKhZm9FwH3Agf6k2p_OIsAQ"/>
    <m/>
    <s v="XDmnHdGD5iE"/>
    <s v="https://www.youtube.com/watch?v=XDmnHdGD5iE"/>
    <s v="none"/>
    <n v="1"/>
    <x v="275"/>
    <d v="2020-06-20T15:28:10.000"/>
    <m/>
    <m/>
    <m/>
    <n v="1"/>
    <s v="9"/>
    <s v="9"/>
    <m/>
    <m/>
    <m/>
    <m/>
    <m/>
    <m/>
    <m/>
    <m/>
    <m/>
  </r>
  <r>
    <s v="UCHQ7g1xX-e9rghxNR4ChsOg"/>
    <s v="UCrh8CGftRFYnUFanFFE932A"/>
    <m/>
    <m/>
    <m/>
    <m/>
    <m/>
    <m/>
    <m/>
    <m/>
    <s v="Yes"/>
    <n v="279"/>
    <m/>
    <m/>
    <s v="Replied Comment"/>
    <s v="Reply"/>
    <s v="Always welcome"/>
    <s v="UCHQ7g1xX-e9rghxNR4ChsOg"/>
    <s v="laxmi skills"/>
    <s v="http://www.youtube.com/channel/UCHQ7g1xX-e9rghxNR4ChsOg"/>
    <s v="Ugxg3zms5LQAwAWTufd4AaABAg"/>
    <s v="XDmnHdGD5iE"/>
    <s v="https://www.youtube.com/watch?v=XDmnHdGD5iE"/>
    <s v="none"/>
    <n v="0"/>
    <x v="276"/>
    <d v="2020-06-20T16:02:58.000"/>
    <m/>
    <m/>
    <m/>
    <n v="1"/>
    <s v="9"/>
    <s v="9"/>
    <m/>
    <m/>
    <m/>
    <m/>
    <m/>
    <m/>
    <m/>
    <m/>
    <m/>
  </r>
  <r>
    <s v="UCrh8CGftRFYnUFanFFE932A"/>
    <s v="UCHQ7g1xX-e9rghxNR4ChsOg"/>
    <m/>
    <m/>
    <m/>
    <m/>
    <m/>
    <m/>
    <m/>
    <m/>
    <s v="Yes"/>
    <n v="280"/>
    <m/>
    <m/>
    <s v="Commented Video"/>
    <s v="Comment"/>
    <s v="Thanks for the giving latest updates"/>
    <s v="UCrh8CGftRFYnUFanFFE932A"/>
    <s v="madhu m"/>
    <s v="http://www.youtube.com/channel/UCrh8CGftRFYnUFanFFE932A"/>
    <m/>
    <s v="XDmnHdGD5iE"/>
    <s v="https://www.youtube.com/watch?v=XDmnHdGD5iE"/>
    <s v="none"/>
    <n v="1"/>
    <x v="277"/>
    <d v="2020-06-20T15:51:02.000"/>
    <m/>
    <m/>
    <m/>
    <n v="1"/>
    <s v="9"/>
    <s v="9"/>
    <m/>
    <m/>
    <m/>
    <m/>
    <m/>
    <m/>
    <m/>
    <m/>
    <m/>
  </r>
  <r>
    <s v="UCHQ7g1xX-e9rghxNR4ChsOg"/>
    <s v="UCYyWCfl36cbHL4ObejxDLNw"/>
    <m/>
    <m/>
    <m/>
    <m/>
    <m/>
    <m/>
    <m/>
    <m/>
    <s v="Yes"/>
    <n v="281"/>
    <m/>
    <m/>
    <s v="Replied Comment"/>
    <s v="Reply"/>
    <s v="tq bro please subscribe my channel"/>
    <s v="UCHQ7g1xX-e9rghxNR4ChsOg"/>
    <s v="laxmi skills"/>
    <s v="http://www.youtube.com/channel/UCHQ7g1xX-e9rghxNR4ChsOg"/>
    <s v="UgyLUvd5hGCQtw-UTAh4AaABAg"/>
    <s v="umBP2NJTi7E"/>
    <s v="https://www.youtube.com/watch?v=umBP2NJTi7E"/>
    <s v="none"/>
    <n v="0"/>
    <x v="278"/>
    <d v="2020-06-19T17:31:07.000"/>
    <m/>
    <m/>
    <m/>
    <n v="2"/>
    <s v="9"/>
    <s v="9"/>
    <m/>
    <m/>
    <m/>
    <m/>
    <m/>
    <m/>
    <m/>
    <m/>
    <m/>
  </r>
  <r>
    <s v="UCYyWCfl36cbHL4ObejxDLNw"/>
    <s v="UCHQ7g1xX-e9rghxNR4ChsOg"/>
    <m/>
    <m/>
    <m/>
    <m/>
    <m/>
    <m/>
    <m/>
    <m/>
    <s v="Yes"/>
    <n v="282"/>
    <m/>
    <m/>
    <s v="Commented Video"/>
    <s v="Comment"/>
    <s v="Good job bro, thank you"/>
    <s v="UCYyWCfl36cbHL4ObejxDLNw"/>
    <s v="v sr"/>
    <s v="http://www.youtube.com/channel/UCYyWCfl36cbHL4ObejxDLNw"/>
    <m/>
    <s v="umBP2NJTi7E"/>
    <s v="https://www.youtube.com/watch?v=umBP2NJTi7E"/>
    <s v="none"/>
    <n v="1"/>
    <x v="279"/>
    <d v="2020-06-19T17:13:05.000"/>
    <m/>
    <m/>
    <m/>
    <n v="2"/>
    <s v="9"/>
    <s v="9"/>
    <m/>
    <m/>
    <m/>
    <m/>
    <m/>
    <m/>
    <m/>
    <m/>
    <m/>
  </r>
  <r>
    <s v="UCHQ7g1xX-e9rghxNR4ChsOg"/>
    <s v="UCYyWCfl36cbHL4ObejxDLNw"/>
    <m/>
    <m/>
    <m/>
    <m/>
    <m/>
    <m/>
    <m/>
    <m/>
    <s v="Yes"/>
    <n v="283"/>
    <m/>
    <m/>
    <s v="Replied Comment"/>
    <s v="Reply"/>
    <s v="Thanks"/>
    <s v="UCHQ7g1xX-e9rghxNR4ChsOg"/>
    <s v="laxmi skills"/>
    <s v="http://www.youtube.com/channel/UCHQ7g1xX-e9rghxNR4ChsOg"/>
    <s v="UgxN9fYFznq-7OZmCWl4AaABAg"/>
    <s v="XDmnHdGD5iE"/>
    <s v="https://www.youtube.com/watch?v=XDmnHdGD5iE"/>
    <s v="none"/>
    <n v="0"/>
    <x v="280"/>
    <d v="2020-06-20T16:03:03.000"/>
    <m/>
    <m/>
    <m/>
    <n v="2"/>
    <s v="9"/>
    <s v="9"/>
    <m/>
    <m/>
    <m/>
    <m/>
    <m/>
    <m/>
    <m/>
    <m/>
    <m/>
  </r>
  <r>
    <s v="UCYyWCfl36cbHL4ObejxDLNw"/>
    <s v="UCHQ7g1xX-e9rghxNR4ChsOg"/>
    <m/>
    <m/>
    <m/>
    <m/>
    <m/>
    <m/>
    <m/>
    <m/>
    <s v="Yes"/>
    <n v="284"/>
    <m/>
    <m/>
    <s v="Commented Video"/>
    <s v="Comment"/>
    <s v="Good job bro"/>
    <s v="UCYyWCfl36cbHL4ObejxDLNw"/>
    <s v="v sr"/>
    <s v="http://www.youtube.com/channel/UCYyWCfl36cbHL4ObejxDLNw"/>
    <m/>
    <s v="XDmnHdGD5iE"/>
    <s v="https://www.youtube.com/watch?v=XDmnHdGD5iE"/>
    <s v="none"/>
    <n v="1"/>
    <x v="281"/>
    <d v="2020-06-20T15:52:22.000"/>
    <m/>
    <m/>
    <m/>
    <n v="2"/>
    <s v="9"/>
    <s v="9"/>
    <m/>
    <m/>
    <m/>
    <m/>
    <m/>
    <m/>
    <m/>
    <m/>
    <m/>
  </r>
  <r>
    <s v="UCLKL6RjR4FG0_kWNw7mJS1A"/>
    <s v="UCJNf_zUjSFMnCJSjjr2I2cw"/>
    <m/>
    <m/>
    <m/>
    <m/>
    <m/>
    <m/>
    <m/>
    <m/>
    <s v="Yes"/>
    <n v="285"/>
    <m/>
    <m/>
    <s v="Replied Comment"/>
    <s v="Reply"/>
    <s v="Excelente."/>
    <s v="UCLKL6RjR4FG0_kWNw7mJS1A"/>
    <s v="Tutoliber"/>
    <s v="http://www.youtube.com/channel/UCLKL6RjR4FG0_kWNw7mJS1A"/>
    <s v="UgwSpq6-UjR9JgZTJkZ4AaABAg"/>
    <s v="oVhk6C3hzvk"/>
    <s v="https://www.youtube.com/watch?v=oVhk6C3hzvk"/>
    <s v="none"/>
    <n v="0"/>
    <x v="282"/>
    <d v="2020-06-20T17:43:58.000"/>
    <m/>
    <m/>
    <m/>
    <n v="1"/>
    <s v="8"/>
    <s v="8"/>
    <m/>
    <m/>
    <m/>
    <m/>
    <m/>
    <m/>
    <m/>
    <m/>
    <m/>
  </r>
  <r>
    <s v="UCJNf_zUjSFMnCJSjjr2I2cw"/>
    <s v="UCLKL6RjR4FG0_kWNw7mJS1A"/>
    <m/>
    <m/>
    <m/>
    <m/>
    <m/>
    <m/>
    <m/>
    <m/>
    <s v="Yes"/>
    <n v="286"/>
    <m/>
    <m/>
    <s v="Commented Video"/>
    <s v="Comment"/>
    <s v="Me sirve para logistica, 6 transportistas a donde van y optimizar cargas y destinos. Gracias"/>
    <s v="UCJNf_zUjSFMnCJSjjr2I2cw"/>
    <s v="Carlos Alvarez Solis"/>
    <s v="http://www.youtube.com/channel/UCJNf_zUjSFMnCJSjjr2I2cw"/>
    <m/>
    <s v="oVhk6C3hzvk"/>
    <s v="https://www.youtube.com/watch?v=oVhk6C3hzvk"/>
    <s v="none"/>
    <n v="1"/>
    <x v="283"/>
    <d v="2020-06-20T16:50:58.000"/>
    <m/>
    <m/>
    <m/>
    <n v="1"/>
    <s v="8"/>
    <s v="8"/>
    <m/>
    <m/>
    <m/>
    <m/>
    <m/>
    <m/>
    <m/>
    <m/>
    <m/>
  </r>
  <r>
    <s v="UCLKL6RjR4FG0_kWNw7mJS1A"/>
    <s v="UCMhHl1VbqopFrfmyV9nmCWA"/>
    <m/>
    <m/>
    <m/>
    <m/>
    <m/>
    <m/>
    <m/>
    <m/>
    <s v="Yes"/>
    <n v="287"/>
    <m/>
    <m/>
    <s v="Replied Comment"/>
    <s v="Reply"/>
    <s v="Excelente me alegra que sea de tu utilidad."/>
    <s v="UCLKL6RjR4FG0_kWNw7mJS1A"/>
    <s v="Tutoliber"/>
    <s v="http://www.youtube.com/channel/UCLKL6RjR4FG0_kWNw7mJS1A"/>
    <s v="UgxkA7bf64NuYsju1IN4AaABAg"/>
    <s v="oVhk6C3hzvk"/>
    <s v="https://www.youtube.com/watch?v=oVhk6C3hzvk"/>
    <s v="none"/>
    <n v="0"/>
    <x v="284"/>
    <d v="2020-06-21T03:50:46.000"/>
    <m/>
    <m/>
    <m/>
    <n v="1"/>
    <s v="8"/>
    <s v="8"/>
    <m/>
    <m/>
    <m/>
    <m/>
    <m/>
    <m/>
    <m/>
    <m/>
    <m/>
  </r>
  <r>
    <s v="UCMhHl1VbqopFrfmyV9nmCWA"/>
    <s v="UCLKL6RjR4FG0_kWNw7mJS1A"/>
    <m/>
    <m/>
    <m/>
    <m/>
    <m/>
    <m/>
    <m/>
    <m/>
    <s v="Yes"/>
    <n v="288"/>
    <m/>
    <m/>
    <s v="Commented Video"/>
    <s v="Comment"/>
    <s v="Yo en Finanzas no se me ocurre cómo usarlo, pero es interesante saber que existe."/>
    <s v="UCMhHl1VbqopFrfmyV9nmCWA"/>
    <s v="totvabe1"/>
    <s v="http://www.youtube.com/channel/UCMhHl1VbqopFrfmyV9nmCWA"/>
    <m/>
    <s v="oVhk6C3hzvk"/>
    <s v="https://www.youtube.com/watch?v=oVhk6C3hzvk"/>
    <s v="none"/>
    <n v="1"/>
    <x v="285"/>
    <d v="2020-06-21T00:58:03.000"/>
    <m/>
    <m/>
    <m/>
    <n v="1"/>
    <s v="8"/>
    <s v="8"/>
    <m/>
    <m/>
    <m/>
    <m/>
    <m/>
    <m/>
    <m/>
    <m/>
    <m/>
  </r>
  <r>
    <s v="UCLKL6RjR4FG0_kWNw7mJS1A"/>
    <s v="UCUGy2u7dX3z-0TxexjH6Y7Q"/>
    <m/>
    <m/>
    <m/>
    <m/>
    <m/>
    <m/>
    <m/>
    <m/>
    <s v="Yes"/>
    <n v="289"/>
    <m/>
    <m/>
    <s v="Replied Comment"/>
    <s v="Reply"/>
    <s v="Excelente me alegra que sea de tu utilidad."/>
    <s v="UCLKL6RjR4FG0_kWNw7mJS1A"/>
    <s v="Tutoliber"/>
    <s v="http://www.youtube.com/channel/UCLKL6RjR4FG0_kWNw7mJS1A"/>
    <s v="UgyI_YPtbECqajJqqHF4AaABAg"/>
    <s v="oVhk6C3hzvk"/>
    <s v="https://www.youtube.com/watch?v=oVhk6C3hzvk"/>
    <s v="none"/>
    <n v="0"/>
    <x v="286"/>
    <d v="2020-06-21T03:50:42.000"/>
    <m/>
    <m/>
    <m/>
    <n v="1"/>
    <s v="8"/>
    <s v="8"/>
    <m/>
    <m/>
    <m/>
    <m/>
    <m/>
    <m/>
    <m/>
    <m/>
    <m/>
  </r>
  <r>
    <s v="UCUGy2u7dX3z-0TxexjH6Y7Q"/>
    <s v="UCLKL6RjR4FG0_kWNw7mJS1A"/>
    <m/>
    <m/>
    <m/>
    <m/>
    <m/>
    <m/>
    <m/>
    <m/>
    <s v="Yes"/>
    <n v="290"/>
    <m/>
    <m/>
    <s v="Commented Video"/>
    <s v="Comment"/>
    <s v="Gracias por compartir sigue así, éxitos"/>
    <s v="UCUGy2u7dX3z-0TxexjH6Y7Q"/>
    <s v="Ernesto Cornejo"/>
    <s v="http://www.youtube.com/channel/UCUGy2u7dX3z-0TxexjH6Y7Q"/>
    <m/>
    <s v="oVhk6C3hzvk"/>
    <s v="https://www.youtube.com/watch?v=oVhk6C3hzvk"/>
    <s v="none"/>
    <n v="1"/>
    <x v="287"/>
    <d v="2020-06-21T03:47:56.000"/>
    <m/>
    <m/>
    <m/>
    <n v="1"/>
    <s v="8"/>
    <s v="8"/>
    <m/>
    <m/>
    <m/>
    <m/>
    <m/>
    <m/>
    <m/>
    <m/>
    <m/>
  </r>
  <r>
    <s v="UCFp1vaKzpfvoGai0vE5VJ0w"/>
    <s v="UCmTk8A8oJsDRZk15-Zs0rng"/>
    <m/>
    <m/>
    <m/>
    <m/>
    <m/>
    <m/>
    <m/>
    <m/>
    <s v="Yes"/>
    <n v="291"/>
    <m/>
    <m/>
    <s v="Replied Comment"/>
    <s v="Reply"/>
    <s v="Welcome Amit! 👊"/>
    <s v="UCFp1vaKzpfvoGai0vE5VJ0w"/>
    <s v="Guy in a Cube"/>
    <s v="http://www.youtube.com/channel/UCFp1vaKzpfvoGai0vE5VJ0w"/>
    <s v="UgxPH8nqLTJK3DQY9KJ4AaABAg"/>
    <s v="f9gYFWp4Zb4"/>
    <s v="https://www.youtube.com/watch?v=f9gYFWp4Zb4"/>
    <s v="none"/>
    <n v="0"/>
    <x v="288"/>
    <d v="2020-06-20T23:21:08.000"/>
    <m/>
    <m/>
    <m/>
    <n v="1"/>
    <s v="2"/>
    <s v="2"/>
    <m/>
    <m/>
    <m/>
    <m/>
    <m/>
    <m/>
    <m/>
    <m/>
    <m/>
  </r>
  <r>
    <s v="UCmTk8A8oJsDRZk15-Zs0rng"/>
    <s v="UCFp1vaKzpfvoGai0vE5VJ0w"/>
    <m/>
    <m/>
    <m/>
    <m/>
    <m/>
    <m/>
    <m/>
    <m/>
    <s v="Yes"/>
    <n v="292"/>
    <m/>
    <m/>
    <s v="Commented Video"/>
    <s v="Comment"/>
    <s v="&lt;a href=&quot;http://www.youtube.com/results?search_query=%23new&quot;&gt;#new&lt;/a&gt;"/>
    <s v="UCmTk8A8oJsDRZk15-Zs0rng"/>
    <s v="Amit Upadhyay"/>
    <s v="http://www.youtube.com/channel/UCmTk8A8oJsDRZk15-Zs0rng"/>
    <m/>
    <s v="f9gYFWp4Zb4"/>
    <s v="https://www.youtube.com/watch?v=f9gYFWp4Zb4"/>
    <s v="none"/>
    <n v="1"/>
    <x v="289"/>
    <d v="2020-06-20T18:29:11.000"/>
    <s v=" http://www.youtube.com/results?search_query=%23new"/>
    <s v="youtube.com"/>
    <m/>
    <n v="1"/>
    <s v="2"/>
    <s v="2"/>
    <m/>
    <m/>
    <m/>
    <m/>
    <m/>
    <m/>
    <m/>
    <m/>
    <m/>
  </r>
  <r>
    <s v="UCFp1vaKzpfvoGai0vE5VJ0w"/>
    <s v="UC6bRQV45_B5wpO2bnDjDyow"/>
    <m/>
    <m/>
    <m/>
    <m/>
    <m/>
    <m/>
    <m/>
    <m/>
    <s v="Yes"/>
    <n v="293"/>
    <m/>
    <m/>
    <s v="Replied Comment"/>
    <s v="Reply"/>
    <s v="Not enough info to answer. Please provide more details or post a longer form post on &lt;a href=&quot;https://community.powerbi.com/&quot;&gt;https://community.powerbi.com&lt;/a&gt;"/>
    <s v="UCFp1vaKzpfvoGai0vE5VJ0w"/>
    <s v="Guy in a Cube"/>
    <s v="http://www.youtube.com/channel/UCFp1vaKzpfvoGai0vE5VJ0w"/>
    <s v="UgyHsrnStsVqYYsOgcR4AaABAg"/>
    <s v="f9gYFWp4Zb4"/>
    <s v="https://www.youtube.com/watch?v=f9gYFWp4Zb4"/>
    <s v="none"/>
    <n v="1"/>
    <x v="290"/>
    <d v="2020-06-21T00:30:52.000"/>
    <s v=" https://community.powerbi.com/ https://community.powerbi.com"/>
    <s v="powerbi.com powerbi.com"/>
    <m/>
    <n v="1"/>
    <s v="2"/>
    <s v="2"/>
    <m/>
    <m/>
    <m/>
    <m/>
    <m/>
    <m/>
    <m/>
    <m/>
    <m/>
  </r>
  <r>
    <s v="UC6bRQV45_B5wpO2bnDjDyow"/>
    <s v="UCFp1vaKzpfvoGai0vE5VJ0w"/>
    <m/>
    <m/>
    <m/>
    <m/>
    <m/>
    <m/>
    <m/>
    <m/>
    <s v="Yes"/>
    <n v="294"/>
    <m/>
    <m/>
    <s v="Commented Video"/>
    <s v="Comment"/>
    <s v="Hello the experts out there , i&amp;#39;ve been trying for a while to import data from the web in power bi. But my problem is that i need first to connect before getting the data. Any one here an idea on how to access those datas ???"/>
    <s v="UC6bRQV45_B5wpO2bnDjDyow"/>
    <s v="Jean-Louis Manga"/>
    <s v="http://www.youtube.com/channel/UC6bRQV45_B5wpO2bnDjDyow"/>
    <m/>
    <s v="f9gYFWp4Zb4"/>
    <s v="https://www.youtube.com/watch?v=f9gYFWp4Zb4"/>
    <s v="none"/>
    <n v="0"/>
    <x v="291"/>
    <d v="2020-06-20T23:26:03.000"/>
    <m/>
    <m/>
    <m/>
    <n v="1"/>
    <s v="2"/>
    <s v="2"/>
    <m/>
    <m/>
    <m/>
    <m/>
    <m/>
    <m/>
    <m/>
    <m/>
    <m/>
  </r>
  <r>
    <s v="UC6bRQV45_B5wpO2bnDjDyow"/>
    <s v="UC6bRQV45_B5wpO2bnDjDyow"/>
    <m/>
    <m/>
    <m/>
    <m/>
    <m/>
    <m/>
    <m/>
    <m/>
    <s v="No"/>
    <n v="295"/>
    <m/>
    <m/>
    <s v="Replied Comment"/>
    <s v="Reply"/>
    <s v="@Guy in a Cube Ok then i will do that !!"/>
    <s v="UC6bRQV45_B5wpO2bnDjDyow"/>
    <s v="Jean-Louis Manga"/>
    <s v="http://www.youtube.com/channel/UC6bRQV45_B5wpO2bnDjDyow"/>
    <s v="UgyHsrnStsVqYYsOgcR4AaABAg"/>
    <s v="f9gYFWp4Zb4"/>
    <s v="https://www.youtube.com/watch?v=f9gYFWp4Zb4"/>
    <s v="none"/>
    <n v="0"/>
    <x v="292"/>
    <d v="2020-06-21T02:11:01.000"/>
    <m/>
    <m/>
    <m/>
    <n v="1"/>
    <s v="2"/>
    <s v="2"/>
    <m/>
    <m/>
    <m/>
    <m/>
    <m/>
    <m/>
    <m/>
    <m/>
    <m/>
  </r>
  <r>
    <s v="UCjg2kAW7dd0nmCmHrCSVUng"/>
    <s v="UCxmSF_xV8EqQkoPYJL0bQLA"/>
    <m/>
    <m/>
    <m/>
    <m/>
    <m/>
    <m/>
    <m/>
    <m/>
    <s v="Yes"/>
    <n v="296"/>
    <m/>
    <m/>
    <s v="Replied Comment"/>
    <s v="Reply"/>
    <s v="Ok"/>
    <s v="UCjg2kAW7dd0nmCmHrCSVUng"/>
    <s v="Learn DAX"/>
    <s v="http://www.youtube.com/channel/UCjg2kAW7dd0nmCmHrCSVUng"/>
    <s v="UgwYNyp7_GMcZd7FlW54AaABAg"/>
    <s v="lDH6jvTs96A"/>
    <s v="https://www.youtube.com/watch?v=lDH6jvTs96A"/>
    <s v="none"/>
    <n v="0"/>
    <x v="293"/>
    <d v="2020-06-21T00:46:36.000"/>
    <m/>
    <m/>
    <m/>
    <n v="1"/>
    <s v="3"/>
    <s v="3"/>
    <m/>
    <m/>
    <m/>
    <m/>
    <m/>
    <m/>
    <m/>
    <m/>
    <m/>
  </r>
  <r>
    <s v="UCxmSF_xV8EqQkoPYJL0bQLA"/>
    <s v="UCjg2kAW7dd0nmCmHrCSVUng"/>
    <m/>
    <m/>
    <m/>
    <m/>
    <m/>
    <m/>
    <m/>
    <m/>
    <s v="Yes"/>
    <n v="297"/>
    <m/>
    <m/>
    <s v="Commented Video"/>
    <s v="Comment"/>
    <s v="Power query karwa diziye"/>
    <s v="UCxmSF_xV8EqQkoPYJL0bQLA"/>
    <s v="sukhdev singh"/>
    <s v="http://www.youtube.com/channel/UCxmSF_xV8EqQkoPYJL0bQLA"/>
    <m/>
    <s v="lDH6jvTs96A"/>
    <s v="https://www.youtube.com/watch?v=lDH6jvTs96A"/>
    <s v="none"/>
    <n v="0"/>
    <x v="294"/>
    <d v="2020-06-20T22:45:31.000"/>
    <m/>
    <m/>
    <m/>
    <n v="1"/>
    <s v="3"/>
    <s v="3"/>
    <m/>
    <m/>
    <m/>
    <m/>
    <m/>
    <m/>
    <m/>
    <m/>
    <m/>
  </r>
  <r>
    <s v="UCxmSF_xV8EqQkoPYJL0bQLA"/>
    <s v="UCxmSF_xV8EqQkoPYJL0bQLA"/>
    <m/>
    <m/>
    <m/>
    <m/>
    <m/>
    <m/>
    <m/>
    <m/>
    <s v="No"/>
    <n v="298"/>
    <m/>
    <m/>
    <s v="Replied Comment"/>
    <s v="Reply"/>
    <s v="@Teach To Each thanx sir magar ye bhi batana ki excel se kaise karte hai aur power bi se kaise thanx"/>
    <s v="UCxmSF_xV8EqQkoPYJL0bQLA"/>
    <s v="sukhdev singh"/>
    <s v="http://www.youtube.com/channel/UCxmSF_xV8EqQkoPYJL0bQLA"/>
    <s v="Ugzok_1WVZl3fri-OV54AaABAg"/>
    <s v="DBPmRIZMIFY"/>
    <s v="https://www.youtube.com/watch?v=DBPmRIZMIFY"/>
    <s v="none"/>
    <n v="0"/>
    <x v="295"/>
    <d v="2020-06-20T22:24:57.000"/>
    <m/>
    <m/>
    <m/>
    <n v="3"/>
    <s v="3"/>
    <s v="3"/>
    <m/>
    <m/>
    <m/>
    <m/>
    <m/>
    <m/>
    <m/>
    <m/>
    <m/>
  </r>
  <r>
    <s v="UCxmSF_xV8EqQkoPYJL0bQLA"/>
    <s v="UCxmSF_xV8EqQkoPYJL0bQLA"/>
    <m/>
    <m/>
    <m/>
    <m/>
    <m/>
    <m/>
    <m/>
    <m/>
    <s v="No"/>
    <n v="299"/>
    <m/>
    <m/>
    <s v="Replied Comment"/>
    <s v="Reply"/>
    <s v="@Teach To Each thanx sir excel mai bi batana love u"/>
    <s v="UCxmSF_xV8EqQkoPYJL0bQLA"/>
    <s v="sukhdev singh"/>
    <s v="http://www.youtube.com/channel/UCxmSF_xV8EqQkoPYJL0bQLA"/>
    <s v="Ugzok_1WVZl3fri-OV54AaABAg"/>
    <s v="DBPmRIZMIFY"/>
    <s v="https://www.youtube.com/watch?v=DBPmRIZMIFY"/>
    <s v="none"/>
    <n v="0"/>
    <x v="296"/>
    <d v="2020-06-21T05:36:04.000"/>
    <m/>
    <m/>
    <m/>
    <n v="3"/>
    <s v="3"/>
    <s v="3"/>
    <m/>
    <m/>
    <m/>
    <m/>
    <m/>
    <m/>
    <m/>
    <m/>
    <m/>
  </r>
  <r>
    <s v="UCxmSF_xV8EqQkoPYJL0bQLA"/>
    <s v="UCxmSF_xV8EqQkoPYJL0bQLA"/>
    <m/>
    <m/>
    <m/>
    <m/>
    <m/>
    <m/>
    <m/>
    <m/>
    <s v="No"/>
    <n v="300"/>
    <m/>
    <m/>
    <s v="Replied Comment"/>
    <s v="Reply"/>
    <s v="@Pavan Lalwani okk sir will u make complete bi with practise sheets as. Well as m languages also ??"/>
    <s v="UCxmSF_xV8EqQkoPYJL0bQLA"/>
    <s v="sukhdev singh"/>
    <s v="http://www.youtube.com/channel/UCxmSF_xV8EqQkoPYJL0bQLA"/>
    <s v="Ugxn3mdH5eWj51vtnHB4AaABAg"/>
    <s v="H84UJn1CiWo"/>
    <s v="https://www.youtube.com/watch?v=H84UJn1CiWo"/>
    <s v="none"/>
    <n v="0"/>
    <x v="297"/>
    <d v="2020-06-19T22:14:44.000"/>
    <m/>
    <m/>
    <m/>
    <n v="3"/>
    <s v="3"/>
    <s v="3"/>
    <m/>
    <m/>
    <m/>
    <m/>
    <m/>
    <m/>
    <m/>
    <m/>
    <m/>
  </r>
  <r>
    <s v="UCOZRKgwJMnfnipCEy9CxCjg"/>
    <s v="UCefzkIWdkuRt3d5LpN315rw"/>
    <m/>
    <m/>
    <m/>
    <m/>
    <m/>
    <m/>
    <m/>
    <m/>
    <s v="Yes"/>
    <n v="301"/>
    <m/>
    <m/>
    <s v="Replied Comment"/>
    <s v="Reply"/>
    <s v="Great to hear!"/>
    <s v="UCOZRKgwJMnfnipCEy9CxCjg"/>
    <s v="Two Alex's"/>
    <s v="http://www.youtube.com/channel/UCOZRKgwJMnfnipCEy9CxCjg"/>
    <s v="UgwNnSwz6JZit3fAobZ4AaABAg"/>
    <s v="eUiSVGoMnPA"/>
    <s v="https://www.youtube.com/watch?v=eUiSVGoMnPA"/>
    <s v="none"/>
    <n v="0"/>
    <x v="298"/>
    <d v="2020-06-20T20:39:09.000"/>
    <m/>
    <m/>
    <m/>
    <n v="1"/>
    <s v="24"/>
    <s v="24"/>
    <m/>
    <m/>
    <m/>
    <m/>
    <m/>
    <m/>
    <m/>
    <m/>
    <m/>
  </r>
  <r>
    <s v="UCefzkIWdkuRt3d5LpN315rw"/>
    <s v="UCOZRKgwJMnfnipCEy9CxCjg"/>
    <m/>
    <m/>
    <m/>
    <m/>
    <m/>
    <m/>
    <m/>
    <m/>
    <s v="Yes"/>
    <n v="302"/>
    <m/>
    <m/>
    <s v="Commented Video"/>
    <s v="Comment"/>
    <s v="This presentation was exactly what I needed. Thank you so much guys!"/>
    <s v="UCefzkIWdkuRt3d5LpN315rw"/>
    <s v="Christian V"/>
    <s v="http://www.youtube.com/channel/UCefzkIWdkuRt3d5LpN315rw"/>
    <m/>
    <s v="eUiSVGoMnPA"/>
    <s v="https://www.youtube.com/watch?v=eUiSVGoMnPA"/>
    <s v="none"/>
    <n v="1"/>
    <x v="299"/>
    <d v="2020-06-20T20:15:43.000"/>
    <m/>
    <m/>
    <m/>
    <n v="1"/>
    <s v="24"/>
    <s v="24"/>
    <m/>
    <m/>
    <m/>
    <m/>
    <m/>
    <m/>
    <m/>
    <m/>
    <m/>
  </r>
  <r>
    <s v="UC_aZP9TYHfca8CcFbfUA0IA"/>
    <s v="UC70Td9kbF118tADiFc4j9JQ"/>
    <m/>
    <m/>
    <m/>
    <m/>
    <m/>
    <m/>
    <m/>
    <m/>
    <s v="Yes"/>
    <n v="303"/>
    <m/>
    <m/>
    <s v="Replied Comment"/>
    <s v="Reply"/>
    <s v="Thanks Sudeep"/>
    <s v="UC_aZP9TYHfca8CcFbfUA0IA"/>
    <s v="5 minute formula"/>
    <s v="http://www.youtube.com/channel/UC_aZP9TYHfca8CcFbfUA0IA"/>
    <s v="UgzWQC9MUgjwUv7Yilp4AaABAg"/>
    <s v="cDs0Ua7zmSM"/>
    <s v="https://www.youtube.com/watch?v=cDs0Ua7zmSM"/>
    <s v="none"/>
    <n v="0"/>
    <x v="300"/>
    <d v="2020-06-21T07:28:08.000"/>
    <m/>
    <m/>
    <m/>
    <n v="1"/>
    <s v="14"/>
    <s v="14"/>
    <m/>
    <m/>
    <m/>
    <m/>
    <m/>
    <m/>
    <m/>
    <m/>
    <m/>
  </r>
  <r>
    <s v="UC70Td9kbF118tADiFc4j9JQ"/>
    <s v="UC_aZP9TYHfca8CcFbfUA0IA"/>
    <m/>
    <m/>
    <m/>
    <m/>
    <m/>
    <m/>
    <m/>
    <m/>
    <s v="Yes"/>
    <n v="304"/>
    <m/>
    <m/>
    <s v="Commented Video"/>
    <s v="Comment"/>
    <s v="Keep rocking!"/>
    <s v="UC70Td9kbF118tADiFc4j9JQ"/>
    <s v="Em Sudeep"/>
    <s v="http://www.youtube.com/channel/UC70Td9kbF118tADiFc4j9JQ"/>
    <m/>
    <s v="cDs0Ua7zmSM"/>
    <s v="https://www.youtube.com/watch?v=cDs0Ua7zmSM"/>
    <s v="none"/>
    <n v="1"/>
    <x v="301"/>
    <d v="2020-06-21T07:26:59.000"/>
    <m/>
    <m/>
    <m/>
    <n v="1"/>
    <s v="14"/>
    <s v="14"/>
    <m/>
    <m/>
    <m/>
    <m/>
    <m/>
    <m/>
    <m/>
    <m/>
    <m/>
  </r>
  <r>
    <s v="UC_aZP9TYHfca8CcFbfUA0IA"/>
    <s v="UCgUsJ_7Jude6q6_9B_0P4kA"/>
    <m/>
    <m/>
    <m/>
    <m/>
    <m/>
    <m/>
    <m/>
    <m/>
    <s v="Yes"/>
    <n v="305"/>
    <m/>
    <m/>
    <s v="Replied Comment"/>
    <s v="Reply"/>
    <s v="Thanks. I will post more videos soon."/>
    <s v="UC_aZP9TYHfca8CcFbfUA0IA"/>
    <s v="5 minute formula"/>
    <s v="http://www.youtube.com/channel/UC_aZP9TYHfca8CcFbfUA0IA"/>
    <s v="Ugz9YRIk44XWSF0VItF4AaABAg"/>
    <s v="cDs0Ua7zmSM"/>
    <s v="https://www.youtube.com/watch?v=cDs0Ua7zmSM"/>
    <s v="none"/>
    <n v="0"/>
    <x v="302"/>
    <d v="2020-06-21T09:05:23.000"/>
    <m/>
    <m/>
    <m/>
    <n v="1"/>
    <s v="14"/>
    <s v="14"/>
    <m/>
    <m/>
    <m/>
    <m/>
    <m/>
    <m/>
    <m/>
    <m/>
    <m/>
  </r>
  <r>
    <s v="UCgUsJ_7Jude6q6_9B_0P4kA"/>
    <s v="UC_aZP9TYHfca8CcFbfUA0IA"/>
    <m/>
    <m/>
    <m/>
    <m/>
    <m/>
    <m/>
    <m/>
    <m/>
    <s v="Yes"/>
    <n v="306"/>
    <m/>
    <m/>
    <s v="Commented Video"/>
    <s v="Comment"/>
    <s v="Very useful and  awaiting for  more power bi and advanced excel videos"/>
    <s v="UCgUsJ_7Jude6q6_9B_0P4kA"/>
    <s v="New Learnings"/>
    <s v="http://www.youtube.com/channel/UCgUsJ_7Jude6q6_9B_0P4kA"/>
    <m/>
    <s v="cDs0Ua7zmSM"/>
    <s v="https://www.youtube.com/watch?v=cDs0Ua7zmSM"/>
    <s v="none"/>
    <n v="1"/>
    <x v="303"/>
    <d v="2020-06-21T08:46:32.000"/>
    <m/>
    <m/>
    <m/>
    <n v="1"/>
    <s v="14"/>
    <s v="14"/>
    <m/>
    <m/>
    <m/>
    <m/>
    <m/>
    <m/>
    <m/>
    <m/>
    <m/>
  </r>
  <r>
    <s v="UC_aZP9TYHfca8CcFbfUA0IA"/>
    <s v="UCh4IcDwtnBwbxUQMRwrWZaA"/>
    <m/>
    <m/>
    <m/>
    <m/>
    <m/>
    <m/>
    <m/>
    <m/>
    <s v="Yes"/>
    <n v="307"/>
    <m/>
    <m/>
    <s v="Replied Comment"/>
    <s v="Reply"/>
    <s v="Thanks Sakthi"/>
    <s v="UC_aZP9TYHfca8CcFbfUA0IA"/>
    <s v="5 minute formula"/>
    <s v="http://www.youtube.com/channel/UC_aZP9TYHfca8CcFbfUA0IA"/>
    <s v="Ugx50RO6dt2TX8vHcUt4AaABAg"/>
    <s v="cDs0Ua7zmSM"/>
    <s v="https://www.youtube.com/watch?v=cDs0Ua7zmSM"/>
    <s v="none"/>
    <n v="0"/>
    <x v="304"/>
    <d v="2020-06-21T11:02:38.000"/>
    <m/>
    <m/>
    <m/>
    <n v="1"/>
    <s v="14"/>
    <s v="14"/>
    <m/>
    <m/>
    <m/>
    <m/>
    <m/>
    <m/>
    <m/>
    <m/>
    <m/>
  </r>
  <r>
    <s v="UCh4IcDwtnBwbxUQMRwrWZaA"/>
    <s v="UC_aZP9TYHfca8CcFbfUA0IA"/>
    <m/>
    <m/>
    <m/>
    <m/>
    <m/>
    <m/>
    <m/>
    <m/>
    <s v="Yes"/>
    <n v="308"/>
    <m/>
    <m/>
    <s v="Commented Video"/>
    <s v="Comment"/>
    <s v="Really awesome Ji🔥🔥👌👌👌"/>
    <s v="UCh4IcDwtnBwbxUQMRwrWZaA"/>
    <s v="Sakthi Vel"/>
    <s v="http://www.youtube.com/channel/UCh4IcDwtnBwbxUQMRwrWZaA"/>
    <m/>
    <s v="cDs0Ua7zmSM"/>
    <s v="https://www.youtube.com/watch?v=cDs0Ua7zmSM"/>
    <s v="none"/>
    <n v="1"/>
    <x v="305"/>
    <d v="2020-06-21T10:32:45.000"/>
    <m/>
    <m/>
    <m/>
    <n v="1"/>
    <s v="14"/>
    <s v="1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43"/>
    <field x="42"/>
    <field x="25"/>
  </rowFields>
  <rowItems count="9">
    <i>
      <x v="1"/>
    </i>
    <i r="1">
      <x v="6"/>
    </i>
    <i r="2">
      <x v="168"/>
    </i>
    <i r="2">
      <x v="169"/>
    </i>
    <i r="2">
      <x v="170"/>
    </i>
    <i r="2">
      <x v="171"/>
    </i>
    <i r="2">
      <x v="172"/>
    </i>
    <i r="2">
      <x v="173"/>
    </i>
    <i t="grand">
      <x/>
    </i>
  </rowItems>
  <colItems count="1">
    <i/>
  </colItems>
  <dataFields count="1">
    <dataField name="Count of Publishet At" fld="2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P308" totalsRowShown="0" headerRowDxfId="242" dataDxfId="202">
  <autoFilter ref="A2:AP308"/>
  <tableColumns count="42">
    <tableColumn id="1" name="Vertex 1" dataDxfId="187"/>
    <tableColumn id="2" name="Vertex 2" dataDxfId="185"/>
    <tableColumn id="3" name="Color" dataDxfId="186"/>
    <tableColumn id="4" name="Width" dataDxfId="211"/>
    <tableColumn id="11" name="Style" dataDxfId="210"/>
    <tableColumn id="5" name="Opacity" dataDxfId="209"/>
    <tableColumn id="6" name="Visibility" dataDxfId="208"/>
    <tableColumn id="10" name="Label" dataDxfId="207"/>
    <tableColumn id="12" name="Label Text Color" dataDxfId="206"/>
    <tableColumn id="13" name="Label Font Size" dataDxfId="205"/>
    <tableColumn id="14" name="Reciprocated?" dataDxfId="120"/>
    <tableColumn id="7" name="ID" dataDxfId="204"/>
    <tableColumn id="9" name="Dynamic Filter" dataDxfId="203"/>
    <tableColumn id="8" name="Add Your Own Columns Here" dataDxfId="184"/>
    <tableColumn id="15" name="Relationship" dataDxfId="183"/>
    <tableColumn id="16" name="Comment Type" dataDxfId="182"/>
    <tableColumn id="17" name="Comment" dataDxfId="181"/>
    <tableColumn id="18" name="Author Channel ID" dataDxfId="180"/>
    <tableColumn id="19" name="Author Display Name" dataDxfId="179"/>
    <tableColumn id="20" name="Author Channel URL" dataDxfId="178"/>
    <tableColumn id="21" name="Parent ID" dataDxfId="177"/>
    <tableColumn id="22" name="Video ID" dataDxfId="176"/>
    <tableColumn id="23" name="Video URL" dataDxfId="175"/>
    <tableColumn id="24" name="Viewer Rating" dataDxfId="174"/>
    <tableColumn id="25" name="Like Count" dataDxfId="173"/>
    <tableColumn id="26" name="Publishet At" dataDxfId="172"/>
    <tableColumn id="27" name="Updated At" dataDxfId="171"/>
    <tableColumn id="28" name="URLs In Comment" dataDxfId="170"/>
    <tableColumn id="29" name="Domains In Comment" dataDxfId="169"/>
    <tableColumn id="30" name="Hashtags In Comment" dataDxfId="168"/>
    <tableColumn id="31" name="Edge Weight" dataDxfId="136"/>
    <tableColumn id="32" name="Vertex 1 Group" dataDxfId="135">
      <calculatedColumnFormula>REPLACE(INDEX(GroupVertices[Group], MATCH(Edges[[#This Row],[Vertex 1]],GroupVertices[Vertex],0)),1,1,"")</calculatedColumnFormula>
    </tableColumn>
    <tableColumn id="33" name="Vertex 2 Group" dataDxfId="96">
      <calculatedColumnFormula>REPLACE(INDEX(GroupVertices[Group], MATCH(Edges[[#This Row],[Vertex 2]],GroupVertices[Vertex],0)),1,1,"")</calculatedColumnFormula>
    </tableColumn>
    <tableColumn id="34" name="Sentiment List #1: List1 Word Count" dataDxfId="95"/>
    <tableColumn id="35" name="Sentiment List #1: List1 Word Percentage (%)" dataDxfId="94"/>
    <tableColumn id="36" name="Sentiment List #2: List2 Word Count" dataDxfId="93"/>
    <tableColumn id="37" name="Sentiment List #2: List2 Word Percentage (%)" dataDxfId="92"/>
    <tableColumn id="38" name="Sentiment List #3: List3 Word Count" dataDxfId="91"/>
    <tableColumn id="39" name="Sentiment List #3: List3 Word Percentage (%)" dataDxfId="90"/>
    <tableColumn id="40" name="Non-categorized Word Count" dataDxfId="89"/>
    <tableColumn id="41" name="Non-categorized Word Percentage (%)" dataDxfId="88"/>
    <tableColumn id="42" name="Edge Content Word Count" dataDxfId="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 name="Words" displayName="Words" ref="A1:G722" totalsRowShown="0" headerRowDxfId="119" dataDxfId="118">
  <autoFilter ref="A1:G722"/>
  <tableColumns count="7">
    <tableColumn id="1" name="Word" dataDxfId="117"/>
    <tableColumn id="2" name="Count" dataDxfId="116"/>
    <tableColumn id="3" name="Salience" dataDxfId="115"/>
    <tableColumn id="4" name="Group" dataDxfId="114"/>
    <tableColumn id="5" name="Word on Sentiment List #1: List1" dataDxfId="113"/>
    <tableColumn id="6" name="Word on Sentiment List #2: List2" dataDxfId="112"/>
    <tableColumn id="7" name="Word on Sentiment List #3: List3" dataDxfId="111"/>
  </tableColumns>
  <tableStyleInfo name="NodeXL Table" showFirstColumn="0" showLastColumn="0" showRowStripes="1" showColumnStripes="0"/>
</table>
</file>

<file path=xl/tables/table12.xml><?xml version="1.0" encoding="utf-8"?>
<table xmlns="http://schemas.openxmlformats.org/spreadsheetml/2006/main" id="20" name="WordPairs" displayName="WordPairs" ref="A1:L198" totalsRowShown="0" headerRowDxfId="110" dataDxfId="109">
  <autoFilter ref="A1:L198"/>
  <tableColumns count="12">
    <tableColumn id="1" name="Word 1" dataDxfId="108"/>
    <tableColumn id="2" name="Word 2" dataDxfId="107"/>
    <tableColumn id="3" name="Count" dataDxfId="106"/>
    <tableColumn id="4" name="Salience" dataDxfId="105"/>
    <tableColumn id="5" name="Mutual Information" dataDxfId="104"/>
    <tableColumn id="6" name="Group" dataDxfId="103"/>
    <tableColumn id="7" name="Word1 on Sentiment List #1: List1" dataDxfId="102"/>
    <tableColumn id="8" name="Word1 on Sentiment List #2: List2" dataDxfId="101"/>
    <tableColumn id="9" name="Word1 on Sentiment List #3: List3" dataDxfId="100"/>
    <tableColumn id="10" name="Word2 on Sentiment List #1: List1" dataDxfId="99"/>
    <tableColumn id="11" name="Word2 on Sentiment List #2: List2" dataDxfId="98"/>
    <tableColumn id="12" name="Word2 on Sentiment List #3: List3" dataDxfId="97"/>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3" totalsRowShown="0" headerRowDxfId="215" dataDxfId="214">
  <autoFilter ref="A2:C33"/>
  <tableColumns count="3">
    <tableColumn id="1" name="Group 1" dataDxfId="68"/>
    <tableColumn id="2" name="Group 2" dataDxfId="67"/>
    <tableColumn id="3" name="Edges" dataDxfId="6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13" dataDxfId="212">
  <autoFilter ref="A1:B7"/>
  <tableColumns count="2">
    <tableColumn id="1" name="Key" dataDxfId="63"/>
    <tableColumn id="2" name="Value" dataDxfId="62"/>
  </tableColumns>
  <tableStyleInfo name="NodeXL Table" showFirstColumn="0" showLastColumn="0" showRowStripes="1" showColumnStripes="0"/>
</table>
</file>

<file path=xl/tables/table15.xml><?xml version="1.0" encoding="utf-8"?>
<table xmlns="http://schemas.openxmlformats.org/spreadsheetml/2006/main" id="21" name="NetworkTopItems_1" displayName="NetworkTopItems_1" ref="A1:V11" totalsRowShown="0" headerRowDxfId="52" dataDxfId="51">
  <autoFilter ref="A1:V11"/>
  <tableColumns count="22">
    <tableColumn id="1" name="Top Words in Description in Entire Graph" dataDxfId="50"/>
    <tableColumn id="2" name="Entire Graph Count" dataDxfId="49"/>
    <tableColumn id="3" name="Top Words in Description in G1" dataDxfId="48"/>
    <tableColumn id="4" name="G1 Count" dataDxfId="47"/>
    <tableColumn id="5" name="Top Words in Description in G2" dataDxfId="46"/>
    <tableColumn id="6" name="G2 Count" dataDxfId="45"/>
    <tableColumn id="7" name="Top Words in Description in G3" dataDxfId="44"/>
    <tableColumn id="8" name="G3 Count" dataDxfId="43"/>
    <tableColumn id="9" name="Top Words in Description in G4" dataDxfId="42"/>
    <tableColumn id="10" name="G4 Count" dataDxfId="41"/>
    <tableColumn id="11" name="Top Words in Description in G5" dataDxfId="40"/>
    <tableColumn id="12" name="G5 Count" dataDxfId="39"/>
    <tableColumn id="13" name="Top Words in Description in G6" dataDxfId="38"/>
    <tableColumn id="14" name="G6 Count" dataDxfId="37"/>
    <tableColumn id="15" name="Top Words in Description in G7" dataDxfId="36"/>
    <tableColumn id="16" name="G7 Count" dataDxfId="35"/>
    <tableColumn id="17" name="Top Words in Description in G8" dataDxfId="34"/>
    <tableColumn id="18" name="G8 Count" dataDxfId="33"/>
    <tableColumn id="19" name="Top Words in Description in G9" dataDxfId="32"/>
    <tableColumn id="20" name="G9 Count" dataDxfId="31"/>
    <tableColumn id="21" name="Top Words in Description in G10" dataDxfId="30"/>
    <tableColumn id="22" name="G10 Count" dataDxfId="29"/>
  </tableColumns>
  <tableStyleInfo name="NodeXL Table" showFirstColumn="0" showLastColumn="0" showRowStripes="1" showColumnStripes="0"/>
</table>
</file>

<file path=xl/tables/table16.xml><?xml version="1.0" encoding="utf-8"?>
<table xmlns="http://schemas.openxmlformats.org/spreadsheetml/2006/main" id="22" name="NetworkTopItems_2" displayName="NetworkTopItems_2" ref="A13:S23" totalsRowShown="0" headerRowDxfId="27" dataDxfId="26">
  <autoFilter ref="A13:S23"/>
  <tableColumns count="19">
    <tableColumn id="1" name="G1 Count" dataDxfId="25"/>
    <tableColumn id="2" name="Top Word Pairs in Description in G2" dataDxfId="24"/>
    <tableColumn id="3" name="G2 Count" dataDxfId="23"/>
    <tableColumn id="4" name="Top Word Pairs in Description in G3" dataDxfId="22"/>
    <tableColumn id="5" name="G3 Count" dataDxfId="21"/>
    <tableColumn id="6" name="Top Word Pairs in Description in G4" dataDxfId="20"/>
    <tableColumn id="7" name="G4 Count" dataDxfId="19"/>
    <tableColumn id="8" name="Top Word Pairs in Description in G5" dataDxfId="18"/>
    <tableColumn id="9" name="G5 Count" dataDxfId="17"/>
    <tableColumn id="10" name="Top Word Pairs in Description in G6" dataDxfId="16"/>
    <tableColumn id="11" name="G6 Count" dataDxfId="15"/>
    <tableColumn id="12" name="Top Word Pairs in Description in G7" dataDxfId="14"/>
    <tableColumn id="13" name="G7 Count" dataDxfId="13"/>
    <tableColumn id="14" name="Top Word Pairs in Description in G8" dataDxfId="12"/>
    <tableColumn id="15" name="G8 Count" dataDxfId="11"/>
    <tableColumn id="16" name="Top Word Pairs in Description in G9" dataDxfId="10"/>
    <tableColumn id="17" name="G9 Count" dataDxfId="9"/>
    <tableColumn id="18" name="Top Word Pairs in Description in G10" dataDxfId="8"/>
    <tableColumn id="19"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H204" totalsRowShown="0" headerRowDxfId="241" dataDxfId="188">
  <autoFilter ref="A2:BH204"/>
  <tableColumns count="60">
    <tableColumn id="1" name="Vertex" dataDxfId="201"/>
    <tableColumn id="2" name="Color" dataDxfId="200"/>
    <tableColumn id="5" name="Shape" dataDxfId="199"/>
    <tableColumn id="6" name="Size" dataDxfId="198"/>
    <tableColumn id="4" name="Opacity" dataDxfId="149"/>
    <tableColumn id="7" name="Image File" dataDxfId="147"/>
    <tableColumn id="3" name="Visibility" dataDxfId="148"/>
    <tableColumn id="10" name="Label" dataDxfId="197"/>
    <tableColumn id="16" name="Label Fill Color" dataDxfId="196"/>
    <tableColumn id="9" name="Label Position" dataDxfId="167"/>
    <tableColumn id="8" name="Tooltip" dataDxfId="165"/>
    <tableColumn id="18" name="Layout Order" dataDxfId="166"/>
    <tableColumn id="13" name="X" dataDxfId="195"/>
    <tableColumn id="14" name="Y" dataDxfId="194"/>
    <tableColumn id="12" name="Locked?" dataDxfId="193"/>
    <tableColumn id="19" name="Polar R" dataDxfId="192"/>
    <tableColumn id="20" name="Polar Angle" dataDxfId="191"/>
    <tableColumn id="21" name="Degree" dataDxfId="59"/>
    <tableColumn id="22" name="In-Degree" dataDxfId="58"/>
    <tableColumn id="23" name="Out-Degree" dataDxfId="56"/>
    <tableColumn id="24" name="Betweenness Centrality" dataDxfId="57"/>
    <tableColumn id="25" name="Closeness Centrality" dataDxfId="61"/>
    <tableColumn id="26" name="Eigenvector Centrality" dataDxfId="60"/>
    <tableColumn id="15" name="PageRank" dataDxfId="55"/>
    <tableColumn id="27" name="Clustering Coefficient" dataDxfId="53"/>
    <tableColumn id="29" name="Reciprocated Vertex Pair Ratio" dataDxfId="54"/>
    <tableColumn id="11" name="ID" dataDxfId="190"/>
    <tableColumn id="28" name="Dynamic Filter" dataDxfId="189"/>
    <tableColumn id="17" name="Add Your Own Columns Here" dataDxfId="164"/>
    <tableColumn id="30" name="Title" dataDxfId="163"/>
    <tableColumn id="31" name="Description" dataDxfId="162"/>
    <tableColumn id="32" name="Author Channel ID" dataDxfId="161"/>
    <tableColumn id="33" name="Author Display Name" dataDxfId="160"/>
    <tableColumn id="34" name="Author Channel URL" dataDxfId="159"/>
    <tableColumn id="35" name="Custom URL" dataDxfId="158"/>
    <tableColumn id="36" name="Published At" dataDxfId="157"/>
    <tableColumn id="37" name="Thumbnail" dataDxfId="156"/>
    <tableColumn id="38" name="View Count" dataDxfId="155"/>
    <tableColumn id="39" name="Comment Count" dataDxfId="154"/>
    <tableColumn id="40" name="Subscriber Count" dataDxfId="153"/>
    <tableColumn id="41" name="Hidden Subscriber Count" dataDxfId="152"/>
    <tableColumn id="42" name="Video Count" dataDxfId="151"/>
    <tableColumn id="43" name="Content Owner" dataDxfId="150"/>
    <tableColumn id="44" name="Time Linked" dataDxfId="146"/>
    <tableColumn id="45" name="Custom Menu Item Text" dataDxfId="145"/>
    <tableColumn id="46" name="Custom Menu Item Action" dataDxfId="137"/>
    <tableColumn id="47" name="Vertex Group" dataDxfId="86">
      <calculatedColumnFormula>REPLACE(INDEX(GroupVertices[Group], MATCH(Vertices[[#This Row],[Vertex]],GroupVertices[Vertex],0)),1,1,"")</calculatedColumnFormula>
    </tableColumn>
    <tableColumn id="48" name="Sentiment List #1: List1 Word Count" dataDxfId="85"/>
    <tableColumn id="49" name="Sentiment List #1: List1 Word Percentage (%)" dataDxfId="84"/>
    <tableColumn id="50" name="Sentiment List #2: List2 Word Count" dataDxfId="83"/>
    <tableColumn id="51" name="Sentiment List #2: List2 Word Percentage (%)" dataDxfId="82"/>
    <tableColumn id="52" name="Sentiment List #3: List3 Word Count" dataDxfId="81"/>
    <tableColumn id="53" name="Sentiment List #3: List3 Word Percentage (%)" dataDxfId="80"/>
    <tableColumn id="54" name="Non-categorized Word Count" dataDxfId="79"/>
    <tableColumn id="55" name="Non-categorized Word Percentage (%)" dataDxfId="78"/>
    <tableColumn id="56" name="Vertex Content Word Count"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28" totalsRowShown="0" headerRowDxfId="240">
  <autoFilter ref="A2:AI28"/>
  <tableColumns count="35">
    <tableColumn id="1" name="Group" dataDxfId="144"/>
    <tableColumn id="2" name="Vertex Color" dataDxfId="143"/>
    <tableColumn id="3" name="Vertex Shape" dataDxfId="141"/>
    <tableColumn id="22" name="Visibility" dataDxfId="142"/>
    <tableColumn id="4" name="Collapsed?"/>
    <tableColumn id="18" name="Label" dataDxfId="239"/>
    <tableColumn id="20" name="Collapsed X"/>
    <tableColumn id="21" name="Collapsed Y"/>
    <tableColumn id="6" name="ID" dataDxfId="238"/>
    <tableColumn id="19" name="Collapsed Properties" dataDxfId="134"/>
    <tableColumn id="5" name="Vertices" dataDxfId="133"/>
    <tableColumn id="7" name="Unique Edges" dataDxfId="132"/>
    <tableColumn id="8" name="Edges With Duplicates" dataDxfId="131"/>
    <tableColumn id="9" name="Total Edges" dataDxfId="130"/>
    <tableColumn id="10" name="Self-Loops" dataDxfId="129"/>
    <tableColumn id="24" name="Reciprocated Vertex Pair Ratio" dataDxfId="128"/>
    <tableColumn id="25" name="Reciprocated Edge Ratio" dataDxfId="127"/>
    <tableColumn id="11" name="Connected Components" dataDxfId="126"/>
    <tableColumn id="12" name="Single-Vertex Connected Components" dataDxfId="125"/>
    <tableColumn id="13" name="Maximum Vertices in a Connected Component" dataDxfId="124"/>
    <tableColumn id="14" name="Maximum Edges in a Connected Component" dataDxfId="123"/>
    <tableColumn id="15" name="Maximum Geodesic Distance (Diameter)" dataDxfId="122"/>
    <tableColumn id="16" name="Average Geodesic Distance" dataDxfId="121"/>
    <tableColumn id="17" name="Graph Density" dataDxfId="77"/>
    <tableColumn id="23" name="Sentiment List #1: List1 Word Count" dataDxfId="76"/>
    <tableColumn id="26" name="Sentiment List #1: List1 Word Percentage (%)" dataDxfId="75"/>
    <tableColumn id="27" name="Sentiment List #2: List2 Word Count" dataDxfId="74"/>
    <tableColumn id="28" name="Sentiment List #2: List2 Word Percentage (%)" dataDxfId="73"/>
    <tableColumn id="29" name="Sentiment List #3: List3 Word Count" dataDxfId="72"/>
    <tableColumn id="30" name="Sentiment List #3: List3 Word Percentage (%)" dataDxfId="71"/>
    <tableColumn id="31" name="Non-categorized Word Count" dataDxfId="70"/>
    <tableColumn id="32" name="Non-categorized Word Percentage (%)" dataDxfId="69"/>
    <tableColumn id="33" name="Group Content Word Count" dataDxfId="28"/>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237" dataDxfId="236">
  <autoFilter ref="A1:C203"/>
  <tableColumns count="3">
    <tableColumn id="1" name="Group" dataDxfId="140"/>
    <tableColumn id="2" name="Vertex" dataDxfId="139"/>
    <tableColumn id="3" name="Vertex ID" dataDxfId="13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65"/>
    <tableColumn id="2" name="Value" dataDxfId="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35"/>
    <tableColumn id="2" name="Degree Frequency" dataDxfId="234">
      <calculatedColumnFormula>COUNTIF(Vertices[Degree], "&gt;= " &amp; D2) - COUNTIF(Vertices[Degree], "&gt;=" &amp; D3)</calculatedColumnFormula>
    </tableColumn>
    <tableColumn id="3" name="In-Degree Bin" dataDxfId="233"/>
    <tableColumn id="4" name="In-Degree Frequency" dataDxfId="232">
      <calculatedColumnFormula>COUNTIF(Vertices[In-Degree], "&gt;= " &amp; F2) - COUNTIF(Vertices[In-Degree], "&gt;=" &amp; F3)</calculatedColumnFormula>
    </tableColumn>
    <tableColumn id="5" name="Out-Degree Bin" dataDxfId="231"/>
    <tableColumn id="6" name="Out-Degree Frequency" dataDxfId="230">
      <calculatedColumnFormula>COUNTIF(Vertices[Out-Degree], "&gt;= " &amp; H2) - COUNTIF(Vertices[Out-Degree], "&gt;=" &amp; H3)</calculatedColumnFormula>
    </tableColumn>
    <tableColumn id="7" name="Betweenness Centrality Bin" dataDxfId="229"/>
    <tableColumn id="8" name="Betweenness Centrality Frequency" dataDxfId="228">
      <calculatedColumnFormula>COUNTIF(Vertices[Betweenness Centrality], "&gt;= " &amp; J2) - COUNTIF(Vertices[Betweenness Centrality], "&gt;=" &amp; J3)</calculatedColumnFormula>
    </tableColumn>
    <tableColumn id="9" name="Closeness Centrality Bin" dataDxfId="227"/>
    <tableColumn id="10" name="Closeness Centrality Frequency" dataDxfId="226">
      <calculatedColumnFormula>COUNTIF(Vertices[Closeness Centrality], "&gt;= " &amp; L2) - COUNTIF(Vertices[Closeness Centrality], "&gt;=" &amp; L3)</calculatedColumnFormula>
    </tableColumn>
    <tableColumn id="11" name="Eigenvector Centrality Bin" dataDxfId="225"/>
    <tableColumn id="12" name="Eigenvector Centrality Frequency" dataDxfId="224">
      <calculatedColumnFormula>COUNTIF(Vertices[Eigenvector Centrality], "&gt;= " &amp; N2) - COUNTIF(Vertices[Eigenvector Centrality], "&gt;=" &amp; N3)</calculatedColumnFormula>
    </tableColumn>
    <tableColumn id="18" name="PageRank Bin" dataDxfId="223"/>
    <tableColumn id="17" name="PageRank Frequency" dataDxfId="222">
      <calculatedColumnFormula>COUNTIF(Vertices[Eigenvector Centrality], "&gt;= " &amp; P2) - COUNTIF(Vertices[Eigenvector Centrality], "&gt;=" &amp; P3)</calculatedColumnFormula>
    </tableColumn>
    <tableColumn id="13" name="Clustering Coefficient Bin" dataDxfId="221"/>
    <tableColumn id="14" name="Clustering Coefficient Frequency" dataDxfId="220">
      <calculatedColumnFormula>COUNTIF(Vertices[Clustering Coefficient], "&gt;= " &amp; R2) - COUNTIF(Vertices[Clustering Coefficient], "&gt;=" &amp; R3)</calculatedColumnFormula>
    </tableColumn>
    <tableColumn id="15" name="Dynamic Filter Bin" dataDxfId="219"/>
    <tableColumn id="16" name="Dynamic Filter Frequency" dataDxfId="2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59"/>
  <sheetViews>
    <sheetView workbookViewId="0" topLeftCell="A1">
      <pane xSplit="2" ySplit="2" topLeftCell="AB3" activePane="bottomRight" state="frozen"/>
      <selection pane="topRight" activeCell="C1" sqref="C1"/>
      <selection pane="bottomLeft" activeCell="A3" sqref="A3"/>
      <selection pane="bottomRight" activeCell="A2" sqref="A2:AP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7" width="11.28125" style="0" bestFit="1" customWidth="1"/>
    <col min="18" max="18" width="12.00390625" style="0" bestFit="1" customWidth="1"/>
    <col min="19" max="19" width="15.00390625" style="0" bestFit="1" customWidth="1"/>
    <col min="20" max="20" width="13.57421875" style="0" bestFit="1" customWidth="1"/>
    <col min="21" max="21" width="10.7109375" style="0" bestFit="1" customWidth="1"/>
    <col min="22" max="22" width="10.140625" style="0" bestFit="1" customWidth="1"/>
    <col min="23" max="23" width="7.8515625" style="0" bestFit="1" customWidth="1"/>
    <col min="25" max="25" width="8.140625" style="0" bestFit="1" customWidth="1"/>
    <col min="26" max="26" width="12.7109375" style="0" bestFit="1" customWidth="1"/>
    <col min="27" max="27" width="12.421875" style="0" bestFit="1" customWidth="1"/>
    <col min="28" max="28" width="11.28125" style="0" bestFit="1" customWidth="1"/>
    <col min="29" max="29" width="12.28125" style="0" bestFit="1" customWidth="1"/>
    <col min="30" max="30" width="12.57421875" style="0" bestFit="1" customWidth="1"/>
    <col min="31" max="31" width="14.421875" style="0" customWidth="1"/>
    <col min="32" max="33" width="10.421875" style="0" bestFit="1" customWidth="1"/>
    <col min="34" max="34" width="18.28125" style="0" bestFit="1" customWidth="1"/>
    <col min="35" max="35" width="22.57421875" style="0" bestFit="1" customWidth="1"/>
    <col min="36" max="36" width="18.28125" style="0" bestFit="1" customWidth="1"/>
    <col min="37" max="37" width="22.57421875" style="0" bestFit="1" customWidth="1"/>
    <col min="38" max="38" width="18.28125" style="0" bestFit="1" customWidth="1"/>
    <col min="39" max="39" width="22.57421875" style="0" bestFit="1" customWidth="1"/>
    <col min="40" max="40" width="17.28125" style="0" bestFit="1" customWidth="1"/>
    <col min="41" max="41" width="20.57421875" style="0" bestFit="1" customWidth="1"/>
    <col min="42" max="42" width="14.57421875" style="0" bestFit="1" customWidth="1"/>
  </cols>
  <sheetData>
    <row r="1" spans="3:14" ht="15">
      <c r="C1" s="16" t="s">
        <v>39</v>
      </c>
      <c r="D1" s="17"/>
      <c r="E1" s="17"/>
      <c r="F1" s="17"/>
      <c r="G1" s="16"/>
      <c r="H1" s="14" t="s">
        <v>43</v>
      </c>
      <c r="I1" s="50"/>
      <c r="J1" s="50"/>
      <c r="K1" s="33" t="s">
        <v>42</v>
      </c>
      <c r="L1" s="18" t="s">
        <v>40</v>
      </c>
      <c r="M1" s="18"/>
      <c r="N1" s="15"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t="s">
        <v>231</v>
      </c>
      <c r="AF2" s="13" t="s">
        <v>271</v>
      </c>
      <c r="AG2" s="13" t="s">
        <v>272</v>
      </c>
      <c r="AH2" s="52" t="s">
        <v>342</v>
      </c>
      <c r="AI2" s="52" t="s">
        <v>343</v>
      </c>
      <c r="AJ2" s="52" t="s">
        <v>344</v>
      </c>
      <c r="AK2" s="52" t="s">
        <v>345</v>
      </c>
      <c r="AL2" s="52" t="s">
        <v>346</v>
      </c>
      <c r="AM2" s="52" t="s">
        <v>347</v>
      </c>
      <c r="AN2" s="52" t="s">
        <v>348</v>
      </c>
      <c r="AO2" s="52" t="s">
        <v>349</v>
      </c>
      <c r="AP2" s="52" t="s">
        <v>350</v>
      </c>
    </row>
    <row r="3" spans="1:42" ht="15" customHeight="1">
      <c r="A3" s="65" t="s">
        <v>448</v>
      </c>
      <c r="B3" s="65" t="s">
        <v>447</v>
      </c>
      <c r="C3" s="66" t="s">
        <v>1853</v>
      </c>
      <c r="D3" s="67">
        <v>2</v>
      </c>
      <c r="E3" s="68"/>
      <c r="F3" s="69">
        <v>32</v>
      </c>
      <c r="G3" s="66"/>
      <c r="H3" s="70"/>
      <c r="I3" s="71"/>
      <c r="J3" s="71"/>
      <c r="K3" s="34" t="s">
        <v>66</v>
      </c>
      <c r="L3" s="72">
        <v>3</v>
      </c>
      <c r="M3" s="72"/>
      <c r="N3" s="73"/>
      <c r="O3" s="79" t="s">
        <v>211</v>
      </c>
      <c r="P3" s="79" t="s">
        <v>212</v>
      </c>
      <c r="Q3" s="79" t="s">
        <v>908</v>
      </c>
      <c r="R3" s="79" t="s">
        <v>448</v>
      </c>
      <c r="S3" s="79" t="s">
        <v>910</v>
      </c>
      <c r="T3" s="81" t="str">
        <f>HYPERLINK("http://www.youtube.com/channel/UCusu-y_cy_0fXxOwCTmELqw")</f>
        <v>http://www.youtube.com/channel/UCusu-y_cy_0fXxOwCTmELqw</v>
      </c>
      <c r="U3" s="79" t="s">
        <v>1196</v>
      </c>
      <c r="V3" s="79" t="s">
        <v>1197</v>
      </c>
      <c r="W3" s="81" t="str">
        <f>HYPERLINK("https://www.youtube.com/watch?v=stXFmnQF9zg")</f>
        <v>https://www.youtube.com/watch?v=stXFmnQF9zg</v>
      </c>
      <c r="X3" s="79" t="s">
        <v>213</v>
      </c>
      <c r="Y3" s="79">
        <v>0</v>
      </c>
      <c r="Z3" s="83">
        <v>44001.83085648148</v>
      </c>
      <c r="AA3" s="83">
        <v>44001.83085648148</v>
      </c>
      <c r="AB3" s="79" t="s">
        <v>1248</v>
      </c>
      <c r="AC3" s="79" t="s">
        <v>1260</v>
      </c>
      <c r="AD3" s="79"/>
      <c r="AE3" s="79">
        <v>1</v>
      </c>
      <c r="AF3" s="79" t="str">
        <f>REPLACE(INDEX(GroupVertices[Group],MATCH(Edges[[#This Row],[Vertex 1]],GroupVertices[Vertex],0)),1,1,"")</f>
        <v>23</v>
      </c>
      <c r="AG3" s="79" t="str">
        <f>REPLACE(INDEX(GroupVertices[Group],MATCH(Edges[[#This Row],[Vertex 2]],GroupVertices[Vertex],0)),1,1,"")</f>
        <v>23</v>
      </c>
      <c r="AH3" s="34"/>
      <c r="AI3" s="34"/>
      <c r="AJ3" s="34"/>
      <c r="AK3" s="34"/>
      <c r="AL3" s="34"/>
      <c r="AM3" s="34"/>
      <c r="AN3" s="34"/>
      <c r="AO3" s="34"/>
      <c r="AP3" s="34"/>
    </row>
    <row r="4" spans="1:42" ht="15" customHeight="1">
      <c r="A4" s="65" t="s">
        <v>447</v>
      </c>
      <c r="B4" s="65" t="s">
        <v>448</v>
      </c>
      <c r="C4" s="66" t="s">
        <v>1853</v>
      </c>
      <c r="D4" s="67">
        <v>2</v>
      </c>
      <c r="E4" s="68"/>
      <c r="F4" s="69">
        <v>32</v>
      </c>
      <c r="G4" s="66"/>
      <c r="H4" s="70"/>
      <c r="I4" s="71"/>
      <c r="J4" s="71"/>
      <c r="K4" s="34" t="s">
        <v>66</v>
      </c>
      <c r="L4" s="78">
        <v>4</v>
      </c>
      <c r="M4" s="78"/>
      <c r="N4" s="73"/>
      <c r="O4" s="80" t="s">
        <v>210</v>
      </c>
      <c r="P4" s="80" t="s">
        <v>196</v>
      </c>
      <c r="Q4" s="80" t="s">
        <v>612</v>
      </c>
      <c r="R4" s="80" t="s">
        <v>447</v>
      </c>
      <c r="S4" s="80" t="s">
        <v>909</v>
      </c>
      <c r="T4" s="82" t="str">
        <f>HYPERLINK("http://www.youtube.com/channel/UCKWPSdZrvYUribmNP8ciY-g")</f>
        <v>http://www.youtube.com/channel/UCKWPSdZrvYUribmNP8ciY-g</v>
      </c>
      <c r="U4" s="80"/>
      <c r="V4" s="80" t="s">
        <v>1197</v>
      </c>
      <c r="W4" s="82" t="str">
        <f>HYPERLINK("https://www.youtube.com/watch?v=stXFmnQF9zg")</f>
        <v>https://www.youtube.com/watch?v=stXFmnQF9zg</v>
      </c>
      <c r="X4" s="80" t="s">
        <v>213</v>
      </c>
      <c r="Y4" s="80">
        <v>0</v>
      </c>
      <c r="Z4" s="84">
        <v>43999.58880787037</v>
      </c>
      <c r="AA4" s="84">
        <v>43999.58880787037</v>
      </c>
      <c r="AB4" s="80"/>
      <c r="AC4" s="80"/>
      <c r="AD4" s="80"/>
      <c r="AE4" s="80">
        <v>1</v>
      </c>
      <c r="AF4" s="79" t="str">
        <f>REPLACE(INDEX(GroupVertices[Group],MATCH(Edges[[#This Row],[Vertex 1]],GroupVertices[Vertex],0)),1,1,"")</f>
        <v>23</v>
      </c>
      <c r="AG4" s="79" t="str">
        <f>REPLACE(INDEX(GroupVertices[Group],MATCH(Edges[[#This Row],[Vertex 2]],GroupVertices[Vertex],0)),1,1,"")</f>
        <v>23</v>
      </c>
      <c r="AH4" s="34"/>
      <c r="AI4" s="34"/>
      <c r="AJ4" s="34"/>
      <c r="AK4" s="34"/>
      <c r="AL4" s="34"/>
      <c r="AM4" s="34"/>
      <c r="AN4" s="34"/>
      <c r="AO4" s="34"/>
      <c r="AP4" s="34"/>
    </row>
    <row r="5" spans="1:42" ht="15">
      <c r="A5" s="65" t="s">
        <v>448</v>
      </c>
      <c r="B5" s="65" t="s">
        <v>449</v>
      </c>
      <c r="C5" s="66" t="s">
        <v>1853</v>
      </c>
      <c r="D5" s="67">
        <v>2</v>
      </c>
      <c r="E5" s="68"/>
      <c r="F5" s="69">
        <v>32</v>
      </c>
      <c r="G5" s="66"/>
      <c r="H5" s="70"/>
      <c r="I5" s="71"/>
      <c r="J5" s="71"/>
      <c r="K5" s="34" t="s">
        <v>66</v>
      </c>
      <c r="L5" s="78">
        <v>5</v>
      </c>
      <c r="M5" s="78"/>
      <c r="N5" s="73"/>
      <c r="O5" s="80" t="s">
        <v>211</v>
      </c>
      <c r="P5" s="80" t="s">
        <v>212</v>
      </c>
      <c r="Q5" s="80" t="s">
        <v>613</v>
      </c>
      <c r="R5" s="80" t="s">
        <v>448</v>
      </c>
      <c r="S5" s="80" t="s">
        <v>910</v>
      </c>
      <c r="T5" s="82" t="str">
        <f>HYPERLINK("http://www.youtube.com/channel/UCusu-y_cy_0fXxOwCTmELqw")</f>
        <v>http://www.youtube.com/channel/UCusu-y_cy_0fXxOwCTmELqw</v>
      </c>
      <c r="U5" s="80" t="s">
        <v>1073</v>
      </c>
      <c r="V5" s="80" t="s">
        <v>1197</v>
      </c>
      <c r="W5" s="82" t="str">
        <f>HYPERLINK("https://www.youtube.com/watch?v=stXFmnQF9zg")</f>
        <v>https://www.youtube.com/watch?v=stXFmnQF9zg</v>
      </c>
      <c r="X5" s="80" t="s">
        <v>213</v>
      </c>
      <c r="Y5" s="80">
        <v>0</v>
      </c>
      <c r="Z5" s="84">
        <v>44001.90377314815</v>
      </c>
      <c r="AA5" s="84">
        <v>44001.90377314815</v>
      </c>
      <c r="AB5" s="80"/>
      <c r="AC5" s="80"/>
      <c r="AD5" s="80"/>
      <c r="AE5" s="80">
        <v>1</v>
      </c>
      <c r="AF5" s="79" t="str">
        <f>REPLACE(INDEX(GroupVertices[Group],MATCH(Edges[[#This Row],[Vertex 1]],GroupVertices[Vertex],0)),1,1,"")</f>
        <v>23</v>
      </c>
      <c r="AG5" s="79" t="str">
        <f>REPLACE(INDEX(GroupVertices[Group],MATCH(Edges[[#This Row],[Vertex 2]],GroupVertices[Vertex],0)),1,1,"")</f>
        <v>23</v>
      </c>
      <c r="AH5" s="34"/>
      <c r="AI5" s="34"/>
      <c r="AJ5" s="34"/>
      <c r="AK5" s="34"/>
      <c r="AL5" s="34"/>
      <c r="AM5" s="34"/>
      <c r="AN5" s="34"/>
      <c r="AO5" s="34"/>
      <c r="AP5" s="34"/>
    </row>
    <row r="6" spans="1:42" ht="15">
      <c r="A6" s="65" t="s">
        <v>449</v>
      </c>
      <c r="B6" s="65" t="s">
        <v>448</v>
      </c>
      <c r="C6" s="66" t="s">
        <v>1853</v>
      </c>
      <c r="D6" s="67">
        <v>2</v>
      </c>
      <c r="E6" s="68"/>
      <c r="F6" s="69">
        <v>32</v>
      </c>
      <c r="G6" s="66"/>
      <c r="H6" s="70"/>
      <c r="I6" s="71"/>
      <c r="J6" s="71"/>
      <c r="K6" s="34" t="s">
        <v>66</v>
      </c>
      <c r="L6" s="78">
        <v>6</v>
      </c>
      <c r="M6" s="78"/>
      <c r="N6" s="73"/>
      <c r="O6" s="80" t="s">
        <v>210</v>
      </c>
      <c r="P6" s="80" t="s">
        <v>196</v>
      </c>
      <c r="Q6" s="80" t="s">
        <v>614</v>
      </c>
      <c r="R6" s="80" t="s">
        <v>449</v>
      </c>
      <c r="S6" s="80" t="s">
        <v>911</v>
      </c>
      <c r="T6" s="82" t="str">
        <f>HYPERLINK("http://www.youtube.com/channel/UCOByKzOYpe3HPPY24BgVQ5g")</f>
        <v>http://www.youtube.com/channel/UCOByKzOYpe3HPPY24BgVQ5g</v>
      </c>
      <c r="U6" s="80"/>
      <c r="V6" s="80" t="s">
        <v>1197</v>
      </c>
      <c r="W6" s="82" t="str">
        <f>HYPERLINK("https://www.youtube.com/watch?v=stXFmnQF9zg")</f>
        <v>https://www.youtube.com/watch?v=stXFmnQF9zg</v>
      </c>
      <c r="X6" s="80" t="s">
        <v>213</v>
      </c>
      <c r="Y6" s="80">
        <v>0</v>
      </c>
      <c r="Z6" s="84">
        <v>44001.868576388886</v>
      </c>
      <c r="AA6" s="84">
        <v>44001.868576388886</v>
      </c>
      <c r="AB6" s="80"/>
      <c r="AC6" s="80"/>
      <c r="AD6" s="80"/>
      <c r="AE6" s="80">
        <v>1</v>
      </c>
      <c r="AF6" s="79" t="str">
        <f>REPLACE(INDEX(GroupVertices[Group],MATCH(Edges[[#This Row],[Vertex 1]],GroupVertices[Vertex],0)),1,1,"")</f>
        <v>23</v>
      </c>
      <c r="AG6" s="79" t="str">
        <f>REPLACE(INDEX(GroupVertices[Group],MATCH(Edges[[#This Row],[Vertex 2]],GroupVertices[Vertex],0)),1,1,"")</f>
        <v>23</v>
      </c>
      <c r="AH6" s="34"/>
      <c r="AI6" s="34"/>
      <c r="AJ6" s="34"/>
      <c r="AK6" s="34"/>
      <c r="AL6" s="34"/>
      <c r="AM6" s="34"/>
      <c r="AN6" s="34"/>
      <c r="AO6" s="34"/>
      <c r="AP6" s="34"/>
    </row>
    <row r="7" spans="1:42" ht="15">
      <c r="A7" s="65" t="s">
        <v>450</v>
      </c>
      <c r="B7" s="65" t="s">
        <v>611</v>
      </c>
      <c r="C7" s="66" t="s">
        <v>1853</v>
      </c>
      <c r="D7" s="67">
        <v>2</v>
      </c>
      <c r="E7" s="68"/>
      <c r="F7" s="69">
        <v>32</v>
      </c>
      <c r="G7" s="66"/>
      <c r="H7" s="70"/>
      <c r="I7" s="71"/>
      <c r="J7" s="71"/>
      <c r="K7" s="34" t="s">
        <v>65</v>
      </c>
      <c r="L7" s="78">
        <v>7</v>
      </c>
      <c r="M7" s="78"/>
      <c r="N7" s="73"/>
      <c r="O7" s="80" t="s">
        <v>210</v>
      </c>
      <c r="P7" s="80" t="s">
        <v>196</v>
      </c>
      <c r="Q7" s="80" t="s">
        <v>615</v>
      </c>
      <c r="R7" s="80" t="s">
        <v>450</v>
      </c>
      <c r="S7" s="80" t="s">
        <v>912</v>
      </c>
      <c r="T7" s="82" t="str">
        <f>HYPERLINK("http://www.youtube.com/channel/UCN1NTRS4mHArmIuhpnCqXOw")</f>
        <v>http://www.youtube.com/channel/UCN1NTRS4mHArmIuhpnCqXOw</v>
      </c>
      <c r="U7" s="80"/>
      <c r="V7" s="80" t="s">
        <v>1198</v>
      </c>
      <c r="W7" s="82" t="str">
        <f>HYPERLINK("https://www.youtube.com/watch?v=01b8CNNiqMI")</f>
        <v>https://www.youtube.com/watch?v=01b8CNNiqMI</v>
      </c>
      <c r="X7" s="80" t="s">
        <v>213</v>
      </c>
      <c r="Y7" s="80">
        <v>0</v>
      </c>
      <c r="Z7" s="84">
        <v>44001.42909722222</v>
      </c>
      <c r="AA7" s="84">
        <v>44001.42909722222</v>
      </c>
      <c r="AB7" s="80"/>
      <c r="AC7" s="80"/>
      <c r="AD7" s="80"/>
      <c r="AE7" s="80">
        <v>1</v>
      </c>
      <c r="AF7" s="79" t="str">
        <f>REPLACE(INDEX(GroupVertices[Group],MATCH(Edges[[#This Row],[Vertex 1]],GroupVertices[Vertex],0)),1,1,"")</f>
        <v>26</v>
      </c>
      <c r="AG7" s="79" t="str">
        <f>REPLACE(INDEX(GroupVertices[Group],MATCH(Edges[[#This Row],[Vertex 2]],GroupVertices[Vertex],0)),1,1,"")</f>
        <v>26</v>
      </c>
      <c r="AH7" s="34"/>
      <c r="AI7" s="34"/>
      <c r="AJ7" s="34"/>
      <c r="AK7" s="34"/>
      <c r="AL7" s="34"/>
      <c r="AM7" s="34"/>
      <c r="AN7" s="34"/>
      <c r="AO7" s="34"/>
      <c r="AP7" s="34"/>
    </row>
    <row r="8" spans="1:42" ht="15">
      <c r="A8" s="65" t="s">
        <v>450</v>
      </c>
      <c r="B8" s="65" t="s">
        <v>450</v>
      </c>
      <c r="C8" s="66" t="s">
        <v>1853</v>
      </c>
      <c r="D8" s="67">
        <v>2</v>
      </c>
      <c r="E8" s="68"/>
      <c r="F8" s="69">
        <v>32</v>
      </c>
      <c r="G8" s="66"/>
      <c r="H8" s="70"/>
      <c r="I8" s="71"/>
      <c r="J8" s="71"/>
      <c r="K8" s="34" t="s">
        <v>65</v>
      </c>
      <c r="L8" s="78">
        <v>8</v>
      </c>
      <c r="M8" s="78"/>
      <c r="N8" s="73"/>
      <c r="O8" s="80" t="s">
        <v>211</v>
      </c>
      <c r="P8" s="80" t="s">
        <v>212</v>
      </c>
      <c r="Q8" s="80" t="s">
        <v>616</v>
      </c>
      <c r="R8" s="80" t="s">
        <v>450</v>
      </c>
      <c r="S8" s="80" t="s">
        <v>912</v>
      </c>
      <c r="T8" s="82" t="str">
        <f>HYPERLINK("http://www.youtube.com/channel/UCN1NTRS4mHArmIuhpnCqXOw")</f>
        <v>http://www.youtube.com/channel/UCN1NTRS4mHArmIuhpnCqXOw</v>
      </c>
      <c r="U8" s="80" t="s">
        <v>1074</v>
      </c>
      <c r="V8" s="80" t="s">
        <v>1198</v>
      </c>
      <c r="W8" s="82" t="str">
        <f>HYPERLINK("https://www.youtube.com/watch?v=01b8CNNiqMI")</f>
        <v>https://www.youtube.com/watch?v=01b8CNNiqMI</v>
      </c>
      <c r="X8" s="80" t="s">
        <v>213</v>
      </c>
      <c r="Y8" s="80">
        <v>0</v>
      </c>
      <c r="Z8" s="84">
        <v>44001.66641203704</v>
      </c>
      <c r="AA8" s="84">
        <v>44001.66641203704</v>
      </c>
      <c r="AB8" s="80"/>
      <c r="AC8" s="80"/>
      <c r="AD8" s="80"/>
      <c r="AE8" s="80">
        <v>1</v>
      </c>
      <c r="AF8" s="79" t="str">
        <f>REPLACE(INDEX(GroupVertices[Group],MATCH(Edges[[#This Row],[Vertex 1]],GroupVertices[Vertex],0)),1,1,"")</f>
        <v>26</v>
      </c>
      <c r="AG8" s="79" t="str">
        <f>REPLACE(INDEX(GroupVertices[Group],MATCH(Edges[[#This Row],[Vertex 2]],GroupVertices[Vertex],0)),1,1,"")</f>
        <v>26</v>
      </c>
      <c r="AH8" s="34"/>
      <c r="AI8" s="34"/>
      <c r="AJ8" s="34"/>
      <c r="AK8" s="34"/>
      <c r="AL8" s="34"/>
      <c r="AM8" s="34"/>
      <c r="AN8" s="34"/>
      <c r="AO8" s="34"/>
      <c r="AP8" s="34"/>
    </row>
    <row r="9" spans="1:42" ht="15">
      <c r="A9" s="65" t="s">
        <v>451</v>
      </c>
      <c r="B9" s="65" t="s">
        <v>452</v>
      </c>
      <c r="C9" s="66" t="s">
        <v>1853</v>
      </c>
      <c r="D9" s="67">
        <v>2</v>
      </c>
      <c r="E9" s="68"/>
      <c r="F9" s="69">
        <v>32</v>
      </c>
      <c r="G9" s="66"/>
      <c r="H9" s="70"/>
      <c r="I9" s="71"/>
      <c r="J9" s="71"/>
      <c r="K9" s="34" t="s">
        <v>66</v>
      </c>
      <c r="L9" s="78">
        <v>9</v>
      </c>
      <c r="M9" s="78"/>
      <c r="N9" s="73"/>
      <c r="O9" s="80" t="s">
        <v>211</v>
      </c>
      <c r="P9" s="80" t="s">
        <v>212</v>
      </c>
      <c r="Q9" s="80" t="s">
        <v>617</v>
      </c>
      <c r="R9" s="80" t="s">
        <v>451</v>
      </c>
      <c r="S9" s="80" t="s">
        <v>913</v>
      </c>
      <c r="T9" s="82" t="str">
        <f>HYPERLINK("http://www.youtube.com/channel/UC-h-wArcxJC8zBOD-UxfCOg")</f>
        <v>http://www.youtube.com/channel/UC-h-wArcxJC8zBOD-UxfCOg</v>
      </c>
      <c r="U9" s="80" t="s">
        <v>1075</v>
      </c>
      <c r="V9" s="80" t="s">
        <v>1199</v>
      </c>
      <c r="W9" s="82" t="str">
        <f>HYPERLINK("https://www.youtube.com/watch?v=cTqFNg_y9lw")</f>
        <v>https://www.youtube.com/watch?v=cTqFNg_y9lw</v>
      </c>
      <c r="X9" s="80" t="s">
        <v>213</v>
      </c>
      <c r="Y9" s="80">
        <v>2</v>
      </c>
      <c r="Z9" s="84">
        <v>43998.75113425926</v>
      </c>
      <c r="AA9" s="84">
        <v>43998.75113425926</v>
      </c>
      <c r="AB9" s="80"/>
      <c r="AC9" s="80"/>
      <c r="AD9" s="80"/>
      <c r="AE9" s="80">
        <v>1</v>
      </c>
      <c r="AF9" s="79" t="str">
        <f>REPLACE(INDEX(GroupVertices[Group],MATCH(Edges[[#This Row],[Vertex 1]],GroupVertices[Vertex],0)),1,1,"")</f>
        <v>5</v>
      </c>
      <c r="AG9" s="79" t="str">
        <f>REPLACE(INDEX(GroupVertices[Group],MATCH(Edges[[#This Row],[Vertex 2]],GroupVertices[Vertex],0)),1,1,"")</f>
        <v>5</v>
      </c>
      <c r="AH9" s="34"/>
      <c r="AI9" s="34"/>
      <c r="AJ9" s="34"/>
      <c r="AK9" s="34"/>
      <c r="AL9" s="34"/>
      <c r="AM9" s="34"/>
      <c r="AN9" s="34"/>
      <c r="AO9" s="34"/>
      <c r="AP9" s="34"/>
    </row>
    <row r="10" spans="1:42" ht="15">
      <c r="A10" s="65" t="s">
        <v>452</v>
      </c>
      <c r="B10" s="65" t="s">
        <v>451</v>
      </c>
      <c r="C10" s="66" t="s">
        <v>1853</v>
      </c>
      <c r="D10" s="67">
        <v>2</v>
      </c>
      <c r="E10" s="68"/>
      <c r="F10" s="69">
        <v>32</v>
      </c>
      <c r="G10" s="66"/>
      <c r="H10" s="70"/>
      <c r="I10" s="71"/>
      <c r="J10" s="71"/>
      <c r="K10" s="34" t="s">
        <v>66</v>
      </c>
      <c r="L10" s="78">
        <v>10</v>
      </c>
      <c r="M10" s="78"/>
      <c r="N10" s="73"/>
      <c r="O10" s="80" t="s">
        <v>210</v>
      </c>
      <c r="P10" s="80" t="s">
        <v>196</v>
      </c>
      <c r="Q10" s="80" t="s">
        <v>618</v>
      </c>
      <c r="R10" s="80" t="s">
        <v>452</v>
      </c>
      <c r="S10" s="80" t="s">
        <v>914</v>
      </c>
      <c r="T10" s="82" t="str">
        <f>HYPERLINK("http://www.youtube.com/channel/UCgLtWv7Ck8aFPNISkPm5LsQ")</f>
        <v>http://www.youtube.com/channel/UCgLtWv7Ck8aFPNISkPm5LsQ</v>
      </c>
      <c r="U10" s="80"/>
      <c r="V10" s="80" t="s">
        <v>1199</v>
      </c>
      <c r="W10" s="82" t="str">
        <f>HYPERLINK("https://www.youtube.com/watch?v=cTqFNg_y9lw")</f>
        <v>https://www.youtube.com/watch?v=cTqFNg_y9lw</v>
      </c>
      <c r="X10" s="80" t="s">
        <v>213</v>
      </c>
      <c r="Y10" s="80">
        <v>3</v>
      </c>
      <c r="Z10" s="84">
        <v>43998.730405092596</v>
      </c>
      <c r="AA10" s="84">
        <v>43998.730405092596</v>
      </c>
      <c r="AB10" s="80"/>
      <c r="AC10" s="80"/>
      <c r="AD10" s="80"/>
      <c r="AE10" s="80">
        <v>1</v>
      </c>
      <c r="AF10" s="79" t="str">
        <f>REPLACE(INDEX(GroupVertices[Group],MATCH(Edges[[#This Row],[Vertex 1]],GroupVertices[Vertex],0)),1,1,"")</f>
        <v>5</v>
      </c>
      <c r="AG10" s="79" t="str">
        <f>REPLACE(INDEX(GroupVertices[Group],MATCH(Edges[[#This Row],[Vertex 2]],GroupVertices[Vertex],0)),1,1,"")</f>
        <v>5</v>
      </c>
      <c r="AH10" s="34"/>
      <c r="AI10" s="34"/>
      <c r="AJ10" s="34"/>
      <c r="AK10" s="34"/>
      <c r="AL10" s="34"/>
      <c r="AM10" s="34"/>
      <c r="AN10" s="34"/>
      <c r="AO10" s="34"/>
      <c r="AP10" s="34"/>
    </row>
    <row r="11" spans="1:42" ht="15">
      <c r="A11" s="65" t="s">
        <v>451</v>
      </c>
      <c r="B11" s="65" t="s">
        <v>453</v>
      </c>
      <c r="C11" s="66" t="s">
        <v>1853</v>
      </c>
      <c r="D11" s="67">
        <v>2</v>
      </c>
      <c r="E11" s="68"/>
      <c r="F11" s="69">
        <v>32</v>
      </c>
      <c r="G11" s="66"/>
      <c r="H11" s="70"/>
      <c r="I11" s="71"/>
      <c r="J11" s="71"/>
      <c r="K11" s="34" t="s">
        <v>66</v>
      </c>
      <c r="L11" s="78">
        <v>11</v>
      </c>
      <c r="M11" s="78"/>
      <c r="N11" s="73"/>
      <c r="O11" s="80" t="s">
        <v>211</v>
      </c>
      <c r="P11" s="80" t="s">
        <v>212</v>
      </c>
      <c r="Q11" s="80" t="s">
        <v>619</v>
      </c>
      <c r="R11" s="80" t="s">
        <v>451</v>
      </c>
      <c r="S11" s="80" t="s">
        <v>913</v>
      </c>
      <c r="T11" s="82" t="str">
        <f>HYPERLINK("http://www.youtube.com/channel/UC-h-wArcxJC8zBOD-UxfCOg")</f>
        <v>http://www.youtube.com/channel/UC-h-wArcxJC8zBOD-UxfCOg</v>
      </c>
      <c r="U11" s="80" t="s">
        <v>1076</v>
      </c>
      <c r="V11" s="80" t="s">
        <v>1199</v>
      </c>
      <c r="W11" s="82" t="str">
        <f>HYPERLINK("https://www.youtube.com/watch?v=cTqFNg_y9lw")</f>
        <v>https://www.youtube.com/watch?v=cTqFNg_y9lw</v>
      </c>
      <c r="X11" s="80" t="s">
        <v>213</v>
      </c>
      <c r="Y11" s="80">
        <v>0</v>
      </c>
      <c r="Z11" s="84">
        <v>43998.808020833334</v>
      </c>
      <c r="AA11" s="84">
        <v>43998.808020833334</v>
      </c>
      <c r="AB11" s="80"/>
      <c r="AC11" s="80"/>
      <c r="AD11" s="80"/>
      <c r="AE11" s="80">
        <v>1</v>
      </c>
      <c r="AF11" s="79" t="str">
        <f>REPLACE(INDEX(GroupVertices[Group],MATCH(Edges[[#This Row],[Vertex 1]],GroupVertices[Vertex],0)),1,1,"")</f>
        <v>5</v>
      </c>
      <c r="AG11" s="79" t="str">
        <f>REPLACE(INDEX(GroupVertices[Group],MATCH(Edges[[#This Row],[Vertex 2]],GroupVertices[Vertex],0)),1,1,"")</f>
        <v>5</v>
      </c>
      <c r="AH11" s="34"/>
      <c r="AI11" s="34"/>
      <c r="AJ11" s="34"/>
      <c r="AK11" s="34"/>
      <c r="AL11" s="34"/>
      <c r="AM11" s="34"/>
      <c r="AN11" s="34"/>
      <c r="AO11" s="34"/>
      <c r="AP11" s="34"/>
    </row>
    <row r="12" spans="1:42" ht="15">
      <c r="A12" s="65" t="s">
        <v>453</v>
      </c>
      <c r="B12" s="65" t="s">
        <v>451</v>
      </c>
      <c r="C12" s="66" t="s">
        <v>1853</v>
      </c>
      <c r="D12" s="67">
        <v>2</v>
      </c>
      <c r="E12" s="68"/>
      <c r="F12" s="69">
        <v>32</v>
      </c>
      <c r="G12" s="66"/>
      <c r="H12" s="70"/>
      <c r="I12" s="71"/>
      <c r="J12" s="71"/>
      <c r="K12" s="34" t="s">
        <v>66</v>
      </c>
      <c r="L12" s="78">
        <v>12</v>
      </c>
      <c r="M12" s="78"/>
      <c r="N12" s="73"/>
      <c r="O12" s="80" t="s">
        <v>210</v>
      </c>
      <c r="P12" s="80" t="s">
        <v>196</v>
      </c>
      <c r="Q12" s="80" t="s">
        <v>620</v>
      </c>
      <c r="R12" s="80" t="s">
        <v>453</v>
      </c>
      <c r="S12" s="80" t="s">
        <v>915</v>
      </c>
      <c r="T12" s="82" t="str">
        <f>HYPERLINK("http://www.youtube.com/channel/UCQ8FoQV00xTeNYeDUgbZQiA")</f>
        <v>http://www.youtube.com/channel/UCQ8FoQV00xTeNYeDUgbZQiA</v>
      </c>
      <c r="U12" s="80"/>
      <c r="V12" s="80" t="s">
        <v>1199</v>
      </c>
      <c r="W12" s="82" t="str">
        <f>HYPERLINK("https://www.youtube.com/watch?v=cTqFNg_y9lw")</f>
        <v>https://www.youtube.com/watch?v=cTqFNg_y9lw</v>
      </c>
      <c r="X12" s="80" t="s">
        <v>213</v>
      </c>
      <c r="Y12" s="80">
        <v>2</v>
      </c>
      <c r="Z12" s="84">
        <v>43998.75130787037</v>
      </c>
      <c r="AA12" s="84">
        <v>43998.75130787037</v>
      </c>
      <c r="AB12" s="80"/>
      <c r="AC12" s="80"/>
      <c r="AD12" s="80"/>
      <c r="AE12" s="80">
        <v>1</v>
      </c>
      <c r="AF12" s="79" t="str">
        <f>REPLACE(INDEX(GroupVertices[Group],MATCH(Edges[[#This Row],[Vertex 1]],GroupVertices[Vertex],0)),1,1,"")</f>
        <v>5</v>
      </c>
      <c r="AG12" s="79" t="str">
        <f>REPLACE(INDEX(GroupVertices[Group],MATCH(Edges[[#This Row],[Vertex 2]],GroupVertices[Vertex],0)),1,1,"")</f>
        <v>5</v>
      </c>
      <c r="AH12" s="34"/>
      <c r="AI12" s="34"/>
      <c r="AJ12" s="34"/>
      <c r="AK12" s="34"/>
      <c r="AL12" s="34"/>
      <c r="AM12" s="34"/>
      <c r="AN12" s="34"/>
      <c r="AO12" s="34"/>
      <c r="AP12" s="34"/>
    </row>
    <row r="13" spans="1:42" ht="15">
      <c r="A13" s="65" t="s">
        <v>454</v>
      </c>
      <c r="B13" s="65" t="s">
        <v>455</v>
      </c>
      <c r="C13" s="66" t="s">
        <v>1853</v>
      </c>
      <c r="D13" s="67">
        <v>2</v>
      </c>
      <c r="E13" s="68"/>
      <c r="F13" s="69">
        <v>32</v>
      </c>
      <c r="G13" s="66"/>
      <c r="H13" s="70"/>
      <c r="I13" s="71"/>
      <c r="J13" s="71"/>
      <c r="K13" s="34" t="s">
        <v>65</v>
      </c>
      <c r="L13" s="78">
        <v>13</v>
      </c>
      <c r="M13" s="78"/>
      <c r="N13" s="73"/>
      <c r="O13" s="80" t="s">
        <v>211</v>
      </c>
      <c r="P13" s="80" t="s">
        <v>212</v>
      </c>
      <c r="Q13" s="80" t="s">
        <v>621</v>
      </c>
      <c r="R13" s="80" t="s">
        <v>454</v>
      </c>
      <c r="S13" s="80" t="s">
        <v>916</v>
      </c>
      <c r="T13" s="82" t="str">
        <f>HYPERLINK("http://www.youtube.com/channel/UCMT2TLv-CAyCuGJygoza4yg")</f>
        <v>http://www.youtube.com/channel/UCMT2TLv-CAyCuGJygoza4yg</v>
      </c>
      <c r="U13" s="80" t="s">
        <v>1077</v>
      </c>
      <c r="V13" s="80" t="s">
        <v>1199</v>
      </c>
      <c r="W13" s="82" t="str">
        <f>HYPERLINK("https://www.youtube.com/watch?v=")</f>
        <v>https://www.youtube.com/watch?v=</v>
      </c>
      <c r="X13" s="80" t="s">
        <v>213</v>
      </c>
      <c r="Y13" s="80">
        <v>1</v>
      </c>
      <c r="Z13" s="84">
        <v>43999.232407407406</v>
      </c>
      <c r="AA13" s="84">
        <v>43999.232407407406</v>
      </c>
      <c r="AB13" s="80"/>
      <c r="AC13" s="80"/>
      <c r="AD13" s="80"/>
      <c r="AE13" s="80">
        <v>1</v>
      </c>
      <c r="AF13" s="79" t="str">
        <f>REPLACE(INDEX(GroupVertices[Group],MATCH(Edges[[#This Row],[Vertex 1]],GroupVertices[Vertex],0)),1,1,"")</f>
        <v>5</v>
      </c>
      <c r="AG13" s="79" t="str">
        <f>REPLACE(INDEX(GroupVertices[Group],MATCH(Edges[[#This Row],[Vertex 2]],GroupVertices[Vertex],0)),1,1,"")</f>
        <v>5</v>
      </c>
      <c r="AH13" s="34"/>
      <c r="AI13" s="34"/>
      <c r="AJ13" s="34"/>
      <c r="AK13" s="34"/>
      <c r="AL13" s="34"/>
      <c r="AM13" s="34"/>
      <c r="AN13" s="34"/>
      <c r="AO13" s="34"/>
      <c r="AP13" s="34"/>
    </row>
    <row r="14" spans="1:42" ht="15">
      <c r="A14" s="65" t="s">
        <v>451</v>
      </c>
      <c r="B14" s="65" t="s">
        <v>455</v>
      </c>
      <c r="C14" s="66" t="s">
        <v>1833</v>
      </c>
      <c r="D14" s="67">
        <v>2</v>
      </c>
      <c r="E14" s="68"/>
      <c r="F14" s="69">
        <v>32</v>
      </c>
      <c r="G14" s="66"/>
      <c r="H14" s="70"/>
      <c r="I14" s="71"/>
      <c r="J14" s="71"/>
      <c r="K14" s="34" t="s">
        <v>66</v>
      </c>
      <c r="L14" s="78">
        <v>14</v>
      </c>
      <c r="M14" s="78"/>
      <c r="N14" s="73"/>
      <c r="O14" s="80" t="s">
        <v>211</v>
      </c>
      <c r="P14" s="80" t="s">
        <v>212</v>
      </c>
      <c r="Q14" s="80" t="s">
        <v>622</v>
      </c>
      <c r="R14" s="80" t="s">
        <v>451</v>
      </c>
      <c r="S14" s="80" t="s">
        <v>913</v>
      </c>
      <c r="T14" s="82" t="str">
        <f>HYPERLINK("http://www.youtube.com/channel/UC-h-wArcxJC8zBOD-UxfCOg")</f>
        <v>http://www.youtube.com/channel/UC-h-wArcxJC8zBOD-UxfCOg</v>
      </c>
      <c r="U14" s="80" t="s">
        <v>1077</v>
      </c>
      <c r="V14" s="80" t="s">
        <v>1199</v>
      </c>
      <c r="W14" s="82" t="str">
        <f>HYPERLINK("https://www.youtube.com/watch?v=")</f>
        <v>https://www.youtube.com/watch?v=</v>
      </c>
      <c r="X14" s="80" t="s">
        <v>213</v>
      </c>
      <c r="Y14" s="80">
        <v>0</v>
      </c>
      <c r="Z14" s="84">
        <v>43998.866122685184</v>
      </c>
      <c r="AA14" s="84">
        <v>43998.866122685184</v>
      </c>
      <c r="AB14" s="80"/>
      <c r="AC14" s="80"/>
      <c r="AD14" s="80"/>
      <c r="AE14" s="80">
        <v>3</v>
      </c>
      <c r="AF14" s="79" t="str">
        <f>REPLACE(INDEX(GroupVertices[Group],MATCH(Edges[[#This Row],[Vertex 1]],GroupVertices[Vertex],0)),1,1,"")</f>
        <v>5</v>
      </c>
      <c r="AG14" s="79" t="str">
        <f>REPLACE(INDEX(GroupVertices[Group],MATCH(Edges[[#This Row],[Vertex 2]],GroupVertices[Vertex],0)),1,1,"")</f>
        <v>5</v>
      </c>
      <c r="AH14" s="34"/>
      <c r="AI14" s="34"/>
      <c r="AJ14" s="34"/>
      <c r="AK14" s="34"/>
      <c r="AL14" s="34"/>
      <c r="AM14" s="34"/>
      <c r="AN14" s="34"/>
      <c r="AO14" s="34"/>
      <c r="AP14" s="34"/>
    </row>
    <row r="15" spans="1:42" ht="15">
      <c r="A15" s="65" t="s">
        <v>455</v>
      </c>
      <c r="B15" s="65" t="s">
        <v>455</v>
      </c>
      <c r="C15" s="66" t="s">
        <v>1833</v>
      </c>
      <c r="D15" s="67">
        <v>2</v>
      </c>
      <c r="E15" s="68"/>
      <c r="F15" s="69">
        <v>32</v>
      </c>
      <c r="G15" s="66"/>
      <c r="H15" s="70"/>
      <c r="I15" s="71"/>
      <c r="J15" s="71"/>
      <c r="K15" s="34" t="s">
        <v>65</v>
      </c>
      <c r="L15" s="78">
        <v>15</v>
      </c>
      <c r="M15" s="78"/>
      <c r="N15" s="73"/>
      <c r="O15" s="80" t="s">
        <v>211</v>
      </c>
      <c r="P15" s="80" t="s">
        <v>212</v>
      </c>
      <c r="Q15" s="80" t="s">
        <v>623</v>
      </c>
      <c r="R15" s="80" t="s">
        <v>455</v>
      </c>
      <c r="S15" s="80" t="s">
        <v>917</v>
      </c>
      <c r="T15" s="82" t="str">
        <f>HYPERLINK("http://www.youtube.com/channel/UCbRbT2swDvJdUxLtbse5Ycw")</f>
        <v>http://www.youtube.com/channel/UCbRbT2swDvJdUxLtbse5Ycw</v>
      </c>
      <c r="U15" s="80" t="s">
        <v>1077</v>
      </c>
      <c r="V15" s="80" t="s">
        <v>1199</v>
      </c>
      <c r="W15" s="82" t="str">
        <f>HYPERLINK("https://www.youtube.com/watch?v=")</f>
        <v>https://www.youtube.com/watch?v=</v>
      </c>
      <c r="X15" s="80" t="s">
        <v>213</v>
      </c>
      <c r="Y15" s="80">
        <v>1</v>
      </c>
      <c r="Z15" s="84">
        <v>43998.871782407405</v>
      </c>
      <c r="AA15" s="84">
        <v>43998.88413194445</v>
      </c>
      <c r="AB15" s="80"/>
      <c r="AC15" s="80"/>
      <c r="AD15" s="80"/>
      <c r="AE15" s="80">
        <v>3</v>
      </c>
      <c r="AF15" s="79" t="str">
        <f>REPLACE(INDEX(GroupVertices[Group],MATCH(Edges[[#This Row],[Vertex 1]],GroupVertices[Vertex],0)),1,1,"")</f>
        <v>5</v>
      </c>
      <c r="AG15" s="79" t="str">
        <f>REPLACE(INDEX(GroupVertices[Group],MATCH(Edges[[#This Row],[Vertex 2]],GroupVertices[Vertex],0)),1,1,"")</f>
        <v>5</v>
      </c>
      <c r="AH15" s="34"/>
      <c r="AI15" s="34"/>
      <c r="AJ15" s="34"/>
      <c r="AK15" s="34"/>
      <c r="AL15" s="34"/>
      <c r="AM15" s="34"/>
      <c r="AN15" s="34"/>
      <c r="AO15" s="34"/>
      <c r="AP15" s="34"/>
    </row>
    <row r="16" spans="1:42" ht="15">
      <c r="A16" s="65" t="s">
        <v>451</v>
      </c>
      <c r="B16" s="65" t="s">
        <v>455</v>
      </c>
      <c r="C16" s="66" t="s">
        <v>1833</v>
      </c>
      <c r="D16" s="67">
        <v>2</v>
      </c>
      <c r="E16" s="68"/>
      <c r="F16" s="69">
        <v>32</v>
      </c>
      <c r="G16" s="66"/>
      <c r="H16" s="70"/>
      <c r="I16" s="71"/>
      <c r="J16" s="71"/>
      <c r="K16" s="34" t="s">
        <v>66</v>
      </c>
      <c r="L16" s="78">
        <v>16</v>
      </c>
      <c r="M16" s="78"/>
      <c r="N16" s="73"/>
      <c r="O16" s="80" t="s">
        <v>211</v>
      </c>
      <c r="P16" s="80" t="s">
        <v>212</v>
      </c>
      <c r="Q16" s="80" t="s">
        <v>624</v>
      </c>
      <c r="R16" s="80" t="s">
        <v>451</v>
      </c>
      <c r="S16" s="80" t="s">
        <v>913</v>
      </c>
      <c r="T16" s="82" t="str">
        <f>HYPERLINK("http://www.youtube.com/channel/UC-h-wArcxJC8zBOD-UxfCOg")</f>
        <v>http://www.youtube.com/channel/UC-h-wArcxJC8zBOD-UxfCOg</v>
      </c>
      <c r="U16" s="80" t="s">
        <v>1077</v>
      </c>
      <c r="V16" s="80" t="s">
        <v>1199</v>
      </c>
      <c r="W16" s="82" t="str">
        <f>HYPERLINK("https://www.youtube.com/watch?v=")</f>
        <v>https://www.youtube.com/watch?v=</v>
      </c>
      <c r="X16" s="80" t="s">
        <v>213</v>
      </c>
      <c r="Y16" s="80">
        <v>1</v>
      </c>
      <c r="Z16" s="84">
        <v>43998.87461805555</v>
      </c>
      <c r="AA16" s="84">
        <v>43998.87461805555</v>
      </c>
      <c r="AB16" s="80"/>
      <c r="AC16" s="80"/>
      <c r="AD16" s="80"/>
      <c r="AE16" s="80">
        <v>3</v>
      </c>
      <c r="AF16" s="79" t="str">
        <f>REPLACE(INDEX(GroupVertices[Group],MATCH(Edges[[#This Row],[Vertex 1]],GroupVertices[Vertex],0)),1,1,"")</f>
        <v>5</v>
      </c>
      <c r="AG16" s="79" t="str">
        <f>REPLACE(INDEX(GroupVertices[Group],MATCH(Edges[[#This Row],[Vertex 2]],GroupVertices[Vertex],0)),1,1,"")</f>
        <v>5</v>
      </c>
      <c r="AH16" s="34"/>
      <c r="AI16" s="34"/>
      <c r="AJ16" s="34"/>
      <c r="AK16" s="34"/>
      <c r="AL16" s="34"/>
      <c r="AM16" s="34"/>
      <c r="AN16" s="34"/>
      <c r="AO16" s="34"/>
      <c r="AP16" s="34"/>
    </row>
    <row r="17" spans="1:42" ht="15">
      <c r="A17" s="65" t="s">
        <v>455</v>
      </c>
      <c r="B17" s="65" t="s">
        <v>455</v>
      </c>
      <c r="C17" s="66" t="s">
        <v>1833</v>
      </c>
      <c r="D17" s="67">
        <v>2</v>
      </c>
      <c r="E17" s="68"/>
      <c r="F17" s="69">
        <v>32</v>
      </c>
      <c r="G17" s="66"/>
      <c r="H17" s="70"/>
      <c r="I17" s="71"/>
      <c r="J17" s="71"/>
      <c r="K17" s="34" t="s">
        <v>65</v>
      </c>
      <c r="L17" s="78">
        <v>17</v>
      </c>
      <c r="M17" s="78"/>
      <c r="N17" s="73"/>
      <c r="O17" s="80" t="s">
        <v>211</v>
      </c>
      <c r="P17" s="80" t="s">
        <v>212</v>
      </c>
      <c r="Q17" s="80" t="s">
        <v>625</v>
      </c>
      <c r="R17" s="80" t="s">
        <v>455</v>
      </c>
      <c r="S17" s="80" t="s">
        <v>917</v>
      </c>
      <c r="T17" s="82" t="str">
        <f>HYPERLINK("http://www.youtube.com/channel/UCbRbT2swDvJdUxLtbse5Ycw")</f>
        <v>http://www.youtube.com/channel/UCbRbT2swDvJdUxLtbse5Ycw</v>
      </c>
      <c r="U17" s="80" t="s">
        <v>1077</v>
      </c>
      <c r="V17" s="80" t="s">
        <v>1199</v>
      </c>
      <c r="W17" s="82" t="str">
        <f>HYPERLINK("https://www.youtube.com/watch?v=")</f>
        <v>https://www.youtube.com/watch?v=</v>
      </c>
      <c r="X17" s="80" t="s">
        <v>213</v>
      </c>
      <c r="Y17" s="80">
        <v>1</v>
      </c>
      <c r="Z17" s="84">
        <v>43998.87826388889</v>
      </c>
      <c r="AA17" s="84">
        <v>43998.885092592594</v>
      </c>
      <c r="AB17" s="80"/>
      <c r="AC17" s="80"/>
      <c r="AD17" s="80"/>
      <c r="AE17" s="80">
        <v>3</v>
      </c>
      <c r="AF17" s="79" t="str">
        <f>REPLACE(INDEX(GroupVertices[Group],MATCH(Edges[[#This Row],[Vertex 1]],GroupVertices[Vertex],0)),1,1,"")</f>
        <v>5</v>
      </c>
      <c r="AG17" s="79" t="str">
        <f>REPLACE(INDEX(GroupVertices[Group],MATCH(Edges[[#This Row],[Vertex 2]],GroupVertices[Vertex],0)),1,1,"")</f>
        <v>5</v>
      </c>
      <c r="AH17" s="34"/>
      <c r="AI17" s="34"/>
      <c r="AJ17" s="34"/>
      <c r="AK17" s="34"/>
      <c r="AL17" s="34"/>
      <c r="AM17" s="34"/>
      <c r="AN17" s="34"/>
      <c r="AO17" s="34"/>
      <c r="AP17" s="34"/>
    </row>
    <row r="18" spans="1:42" ht="15">
      <c r="A18" s="65" t="s">
        <v>451</v>
      </c>
      <c r="B18" s="65" t="s">
        <v>455</v>
      </c>
      <c r="C18" s="66" t="s">
        <v>1833</v>
      </c>
      <c r="D18" s="67">
        <v>2</v>
      </c>
      <c r="E18" s="68"/>
      <c r="F18" s="69">
        <v>32</v>
      </c>
      <c r="G18" s="66"/>
      <c r="H18" s="70"/>
      <c r="I18" s="71"/>
      <c r="J18" s="71"/>
      <c r="K18" s="34" t="s">
        <v>66</v>
      </c>
      <c r="L18" s="78">
        <v>18</v>
      </c>
      <c r="M18" s="78"/>
      <c r="N18" s="73"/>
      <c r="O18" s="80" t="s">
        <v>211</v>
      </c>
      <c r="P18" s="80" t="s">
        <v>212</v>
      </c>
      <c r="Q18" s="80" t="s">
        <v>626</v>
      </c>
      <c r="R18" s="80" t="s">
        <v>451</v>
      </c>
      <c r="S18" s="80" t="s">
        <v>913</v>
      </c>
      <c r="T18" s="82" t="str">
        <f>HYPERLINK("http://www.youtube.com/channel/UC-h-wArcxJC8zBOD-UxfCOg")</f>
        <v>http://www.youtube.com/channel/UC-h-wArcxJC8zBOD-UxfCOg</v>
      </c>
      <c r="U18" s="80" t="s">
        <v>1077</v>
      </c>
      <c r="V18" s="80" t="s">
        <v>1199</v>
      </c>
      <c r="W18" s="82" t="str">
        <f>HYPERLINK("https://www.youtube.com/watch?v=")</f>
        <v>https://www.youtube.com/watch?v=</v>
      </c>
      <c r="X18" s="80" t="s">
        <v>213</v>
      </c>
      <c r="Y18" s="80">
        <v>3</v>
      </c>
      <c r="Z18" s="84">
        <v>43998.87936342593</v>
      </c>
      <c r="AA18" s="84">
        <v>43998.87936342593</v>
      </c>
      <c r="AB18" s="80"/>
      <c r="AC18" s="80"/>
      <c r="AD18" s="80"/>
      <c r="AE18" s="80">
        <v>3</v>
      </c>
      <c r="AF18" s="79" t="str">
        <f>REPLACE(INDEX(GroupVertices[Group],MATCH(Edges[[#This Row],[Vertex 1]],GroupVertices[Vertex],0)),1,1,"")</f>
        <v>5</v>
      </c>
      <c r="AG18" s="79" t="str">
        <f>REPLACE(INDEX(GroupVertices[Group],MATCH(Edges[[#This Row],[Vertex 2]],GroupVertices[Vertex],0)),1,1,"")</f>
        <v>5</v>
      </c>
      <c r="AH18" s="34"/>
      <c r="AI18" s="34"/>
      <c r="AJ18" s="34"/>
      <c r="AK18" s="34"/>
      <c r="AL18" s="34"/>
      <c r="AM18" s="34"/>
      <c r="AN18" s="34"/>
      <c r="AO18" s="34"/>
      <c r="AP18" s="34"/>
    </row>
    <row r="19" spans="1:42" ht="15">
      <c r="A19" s="65" t="s">
        <v>455</v>
      </c>
      <c r="B19" s="65" t="s">
        <v>455</v>
      </c>
      <c r="C19" s="66" t="s">
        <v>1833</v>
      </c>
      <c r="D19" s="67">
        <v>2</v>
      </c>
      <c r="E19" s="68"/>
      <c r="F19" s="69">
        <v>32</v>
      </c>
      <c r="G19" s="66"/>
      <c r="H19" s="70"/>
      <c r="I19" s="71"/>
      <c r="J19" s="71"/>
      <c r="K19" s="34" t="s">
        <v>65</v>
      </c>
      <c r="L19" s="78">
        <v>19</v>
      </c>
      <c r="M19" s="78"/>
      <c r="N19" s="73"/>
      <c r="O19" s="80" t="s">
        <v>211</v>
      </c>
      <c r="P19" s="80" t="s">
        <v>212</v>
      </c>
      <c r="Q19" s="80" t="s">
        <v>627</v>
      </c>
      <c r="R19" s="80" t="s">
        <v>455</v>
      </c>
      <c r="S19" s="80" t="s">
        <v>917</v>
      </c>
      <c r="T19" s="82" t="str">
        <f>HYPERLINK("http://www.youtube.com/channel/UCbRbT2swDvJdUxLtbse5Ycw")</f>
        <v>http://www.youtube.com/channel/UCbRbT2swDvJdUxLtbse5Ycw</v>
      </c>
      <c r="U19" s="80" t="s">
        <v>1077</v>
      </c>
      <c r="V19" s="80" t="s">
        <v>1199</v>
      </c>
      <c r="W19" s="82" t="str">
        <f>HYPERLINK("https://www.youtube.com/watch?v=")</f>
        <v>https://www.youtube.com/watch?v=</v>
      </c>
      <c r="X19" s="80" t="s">
        <v>213</v>
      </c>
      <c r="Y19" s="80">
        <v>0</v>
      </c>
      <c r="Z19" s="84">
        <v>43998.88538194444</v>
      </c>
      <c r="AA19" s="84">
        <v>43998.88538194444</v>
      </c>
      <c r="AB19" s="80"/>
      <c r="AC19" s="80"/>
      <c r="AD19" s="80"/>
      <c r="AE19" s="80">
        <v>3</v>
      </c>
      <c r="AF19" s="79" t="str">
        <f>REPLACE(INDEX(GroupVertices[Group],MATCH(Edges[[#This Row],[Vertex 1]],GroupVertices[Vertex],0)),1,1,"")</f>
        <v>5</v>
      </c>
      <c r="AG19" s="79" t="str">
        <f>REPLACE(INDEX(GroupVertices[Group],MATCH(Edges[[#This Row],[Vertex 2]],GroupVertices[Vertex],0)),1,1,"")</f>
        <v>5</v>
      </c>
      <c r="AH19" s="34"/>
      <c r="AI19" s="34"/>
      <c r="AJ19" s="34"/>
      <c r="AK19" s="34"/>
      <c r="AL19" s="34"/>
      <c r="AM19" s="34"/>
      <c r="AN19" s="34"/>
      <c r="AO19" s="34"/>
      <c r="AP19" s="34"/>
    </row>
    <row r="20" spans="1:42" ht="15">
      <c r="A20" s="65" t="s">
        <v>455</v>
      </c>
      <c r="B20" s="65" t="s">
        <v>451</v>
      </c>
      <c r="C20" s="66" t="s">
        <v>1853</v>
      </c>
      <c r="D20" s="67">
        <v>2</v>
      </c>
      <c r="E20" s="68"/>
      <c r="F20" s="69">
        <v>32</v>
      </c>
      <c r="G20" s="66"/>
      <c r="H20" s="70"/>
      <c r="I20" s="71"/>
      <c r="J20" s="71"/>
      <c r="K20" s="34" t="s">
        <v>66</v>
      </c>
      <c r="L20" s="78">
        <v>20</v>
      </c>
      <c r="M20" s="78"/>
      <c r="N20" s="73"/>
      <c r="O20" s="80" t="s">
        <v>210</v>
      </c>
      <c r="P20" s="80" t="s">
        <v>196</v>
      </c>
      <c r="Q20" s="80" t="s">
        <v>628</v>
      </c>
      <c r="R20" s="80" t="s">
        <v>455</v>
      </c>
      <c r="S20" s="80" t="s">
        <v>917</v>
      </c>
      <c r="T20" s="82" t="str">
        <f>HYPERLINK("http://www.youtube.com/channel/UCbRbT2swDvJdUxLtbse5Ycw")</f>
        <v>http://www.youtube.com/channel/UCbRbT2swDvJdUxLtbse5Ycw</v>
      </c>
      <c r="U20" s="80"/>
      <c r="V20" s="80" t="s">
        <v>1199</v>
      </c>
      <c r="W20" s="82" t="str">
        <f>HYPERLINK("https://www.youtube.com/watch?v=cTqFNg_y9lw")</f>
        <v>https://www.youtube.com/watch?v=cTqFNg_y9lw</v>
      </c>
      <c r="X20" s="80" t="s">
        <v>213</v>
      </c>
      <c r="Y20" s="80">
        <v>2</v>
      </c>
      <c r="Z20" s="84">
        <v>43998.854467592595</v>
      </c>
      <c r="AA20" s="84">
        <v>43998.854467592595</v>
      </c>
      <c r="AB20" s="80"/>
      <c r="AC20" s="80"/>
      <c r="AD20" s="80"/>
      <c r="AE20" s="80">
        <v>1</v>
      </c>
      <c r="AF20" s="79" t="str">
        <f>REPLACE(INDEX(GroupVertices[Group],MATCH(Edges[[#This Row],[Vertex 1]],GroupVertices[Vertex],0)),1,1,"")</f>
        <v>5</v>
      </c>
      <c r="AG20" s="79" t="str">
        <f>REPLACE(INDEX(GroupVertices[Group],MATCH(Edges[[#This Row],[Vertex 2]],GroupVertices[Vertex],0)),1,1,"")</f>
        <v>5</v>
      </c>
      <c r="AH20" s="34"/>
      <c r="AI20" s="34"/>
      <c r="AJ20" s="34"/>
      <c r="AK20" s="34"/>
      <c r="AL20" s="34"/>
      <c r="AM20" s="34"/>
      <c r="AN20" s="34"/>
      <c r="AO20" s="34"/>
      <c r="AP20" s="34"/>
    </row>
    <row r="21" spans="1:42" ht="15">
      <c r="A21" s="65" t="s">
        <v>451</v>
      </c>
      <c r="B21" s="65" t="s">
        <v>456</v>
      </c>
      <c r="C21" s="66" t="s">
        <v>1853</v>
      </c>
      <c r="D21" s="67">
        <v>2</v>
      </c>
      <c r="E21" s="68"/>
      <c r="F21" s="69">
        <v>32</v>
      </c>
      <c r="G21" s="66"/>
      <c r="H21" s="70"/>
      <c r="I21" s="71"/>
      <c r="J21" s="71"/>
      <c r="K21" s="34" t="s">
        <v>66</v>
      </c>
      <c r="L21" s="78">
        <v>21</v>
      </c>
      <c r="M21" s="78"/>
      <c r="N21" s="73"/>
      <c r="O21" s="80" t="s">
        <v>211</v>
      </c>
      <c r="P21" s="80" t="s">
        <v>212</v>
      </c>
      <c r="Q21" s="80" t="s">
        <v>629</v>
      </c>
      <c r="R21" s="80" t="s">
        <v>451</v>
      </c>
      <c r="S21" s="80" t="s">
        <v>913</v>
      </c>
      <c r="T21" s="82" t="str">
        <f>HYPERLINK("http://www.youtube.com/channel/UC-h-wArcxJC8zBOD-UxfCOg")</f>
        <v>http://www.youtube.com/channel/UC-h-wArcxJC8zBOD-UxfCOg</v>
      </c>
      <c r="U21" s="80" t="s">
        <v>1078</v>
      </c>
      <c r="V21" s="80" t="s">
        <v>1199</v>
      </c>
      <c r="W21" s="82" t="str">
        <f>HYPERLINK("https://www.youtube.com/watch?v=cTqFNg_y9lw")</f>
        <v>https://www.youtube.com/watch?v=cTqFNg_y9lw</v>
      </c>
      <c r="X21" s="80" t="s">
        <v>213</v>
      </c>
      <c r="Y21" s="80">
        <v>1</v>
      </c>
      <c r="Z21" s="84">
        <v>43999.23793981481</v>
      </c>
      <c r="AA21" s="84">
        <v>43999.23793981481</v>
      </c>
      <c r="AB21" s="80"/>
      <c r="AC21" s="80"/>
      <c r="AD21" s="80"/>
      <c r="AE21" s="80">
        <v>1</v>
      </c>
      <c r="AF21" s="79" t="str">
        <f>REPLACE(INDEX(GroupVertices[Group],MATCH(Edges[[#This Row],[Vertex 1]],GroupVertices[Vertex],0)),1,1,"")</f>
        <v>5</v>
      </c>
      <c r="AG21" s="79" t="str">
        <f>REPLACE(INDEX(GroupVertices[Group],MATCH(Edges[[#This Row],[Vertex 2]],GroupVertices[Vertex],0)),1,1,"")</f>
        <v>5</v>
      </c>
      <c r="AH21" s="34"/>
      <c r="AI21" s="34"/>
      <c r="AJ21" s="34"/>
      <c r="AK21" s="34"/>
      <c r="AL21" s="34"/>
      <c r="AM21" s="34"/>
      <c r="AN21" s="34"/>
      <c r="AO21" s="34"/>
      <c r="AP21" s="34"/>
    </row>
    <row r="22" spans="1:42" ht="15">
      <c r="A22" s="65" t="s">
        <v>456</v>
      </c>
      <c r="B22" s="65" t="s">
        <v>451</v>
      </c>
      <c r="C22" s="66" t="s">
        <v>1853</v>
      </c>
      <c r="D22" s="67">
        <v>2</v>
      </c>
      <c r="E22" s="68"/>
      <c r="F22" s="69">
        <v>32</v>
      </c>
      <c r="G22" s="66"/>
      <c r="H22" s="70"/>
      <c r="I22" s="71"/>
      <c r="J22" s="71"/>
      <c r="K22" s="34" t="s">
        <v>66</v>
      </c>
      <c r="L22" s="78">
        <v>22</v>
      </c>
      <c r="M22" s="78"/>
      <c r="N22" s="73"/>
      <c r="O22" s="80" t="s">
        <v>210</v>
      </c>
      <c r="P22" s="80" t="s">
        <v>196</v>
      </c>
      <c r="Q22" s="80" t="s">
        <v>630</v>
      </c>
      <c r="R22" s="80" t="s">
        <v>456</v>
      </c>
      <c r="S22" s="80" t="s">
        <v>918</v>
      </c>
      <c r="T22" s="82" t="str">
        <f>HYPERLINK("http://www.youtube.com/channel/UCFrlL2ETbR5Ut4zRY4rGlbA")</f>
        <v>http://www.youtube.com/channel/UCFrlL2ETbR5Ut4zRY4rGlbA</v>
      </c>
      <c r="U22" s="80"/>
      <c r="V22" s="80" t="s">
        <v>1199</v>
      </c>
      <c r="W22" s="82" t="str">
        <f>HYPERLINK("https://www.youtube.com/watch?v=cTqFNg_y9lw")</f>
        <v>https://www.youtube.com/watch?v=cTqFNg_y9lw</v>
      </c>
      <c r="X22" s="80" t="s">
        <v>213</v>
      </c>
      <c r="Y22" s="80">
        <v>1</v>
      </c>
      <c r="Z22" s="84">
        <v>43999.07545138889</v>
      </c>
      <c r="AA22" s="84">
        <v>43999.07545138889</v>
      </c>
      <c r="AB22" s="80"/>
      <c r="AC22" s="80"/>
      <c r="AD22" s="80"/>
      <c r="AE22" s="80">
        <v>1</v>
      </c>
      <c r="AF22" s="79" t="str">
        <f>REPLACE(INDEX(GroupVertices[Group],MATCH(Edges[[#This Row],[Vertex 1]],GroupVertices[Vertex],0)),1,1,"")</f>
        <v>5</v>
      </c>
      <c r="AG22" s="79" t="str">
        <f>REPLACE(INDEX(GroupVertices[Group],MATCH(Edges[[#This Row],[Vertex 2]],GroupVertices[Vertex],0)),1,1,"")</f>
        <v>5</v>
      </c>
      <c r="AH22" s="34"/>
      <c r="AI22" s="34"/>
      <c r="AJ22" s="34"/>
      <c r="AK22" s="34"/>
      <c r="AL22" s="34"/>
      <c r="AM22" s="34"/>
      <c r="AN22" s="34"/>
      <c r="AO22" s="34"/>
      <c r="AP22" s="34"/>
    </row>
    <row r="23" spans="1:42" ht="15">
      <c r="A23" s="65" t="s">
        <v>457</v>
      </c>
      <c r="B23" s="65" t="s">
        <v>458</v>
      </c>
      <c r="C23" s="66" t="s">
        <v>1833</v>
      </c>
      <c r="D23" s="67">
        <v>2</v>
      </c>
      <c r="E23" s="68"/>
      <c r="F23" s="69">
        <v>32</v>
      </c>
      <c r="G23" s="66"/>
      <c r="H23" s="70"/>
      <c r="I23" s="71"/>
      <c r="J23" s="71"/>
      <c r="K23" s="34" t="s">
        <v>65</v>
      </c>
      <c r="L23" s="78">
        <v>23</v>
      </c>
      <c r="M23" s="78"/>
      <c r="N23" s="73"/>
      <c r="O23" s="80" t="s">
        <v>211</v>
      </c>
      <c r="P23" s="80" t="s">
        <v>212</v>
      </c>
      <c r="Q23" s="80" t="s">
        <v>631</v>
      </c>
      <c r="R23" s="80" t="s">
        <v>457</v>
      </c>
      <c r="S23" s="80" t="s">
        <v>919</v>
      </c>
      <c r="T23" s="82" t="str">
        <f>HYPERLINK("http://www.youtube.com/channel/UCIuBeymsrTVZxiIMI6614Cg")</f>
        <v>http://www.youtube.com/channel/UCIuBeymsrTVZxiIMI6614Cg</v>
      </c>
      <c r="U23" s="80" t="s">
        <v>1079</v>
      </c>
      <c r="V23" s="80" t="s">
        <v>1199</v>
      </c>
      <c r="W23" s="82" t="str">
        <f>HYPERLINK("https://www.youtube.com/watch?v=cTqFNg_y9lw")</f>
        <v>https://www.youtube.com/watch?v=cTqFNg_y9lw</v>
      </c>
      <c r="X23" s="80" t="s">
        <v>213</v>
      </c>
      <c r="Y23" s="80">
        <v>1</v>
      </c>
      <c r="Z23" s="84">
        <v>44000.47453703704</v>
      </c>
      <c r="AA23" s="84">
        <v>44000.47453703704</v>
      </c>
      <c r="AB23" s="80"/>
      <c r="AC23" s="80"/>
      <c r="AD23" s="80"/>
      <c r="AE23" s="80">
        <v>2</v>
      </c>
      <c r="AF23" s="79" t="str">
        <f>REPLACE(INDEX(GroupVertices[Group],MATCH(Edges[[#This Row],[Vertex 1]],GroupVertices[Vertex],0)),1,1,"")</f>
        <v>5</v>
      </c>
      <c r="AG23" s="79" t="str">
        <f>REPLACE(INDEX(GroupVertices[Group],MATCH(Edges[[#This Row],[Vertex 2]],GroupVertices[Vertex],0)),1,1,"")</f>
        <v>5</v>
      </c>
      <c r="AH23" s="34"/>
      <c r="AI23" s="34"/>
      <c r="AJ23" s="34"/>
      <c r="AK23" s="34"/>
      <c r="AL23" s="34"/>
      <c r="AM23" s="34"/>
      <c r="AN23" s="34"/>
      <c r="AO23" s="34"/>
      <c r="AP23" s="34"/>
    </row>
    <row r="24" spans="1:42" ht="15">
      <c r="A24" s="65" t="s">
        <v>457</v>
      </c>
      <c r="B24" s="65" t="s">
        <v>458</v>
      </c>
      <c r="C24" s="66" t="s">
        <v>1833</v>
      </c>
      <c r="D24" s="67">
        <v>2</v>
      </c>
      <c r="E24" s="68"/>
      <c r="F24" s="69">
        <v>32</v>
      </c>
      <c r="G24" s="66"/>
      <c r="H24" s="70"/>
      <c r="I24" s="71"/>
      <c r="J24" s="71"/>
      <c r="K24" s="34" t="s">
        <v>65</v>
      </c>
      <c r="L24" s="78">
        <v>24</v>
      </c>
      <c r="M24" s="78"/>
      <c r="N24" s="73"/>
      <c r="O24" s="80" t="s">
        <v>211</v>
      </c>
      <c r="P24" s="80" t="s">
        <v>212</v>
      </c>
      <c r="Q24" s="80" t="s">
        <v>632</v>
      </c>
      <c r="R24" s="80" t="s">
        <v>457</v>
      </c>
      <c r="S24" s="80" t="s">
        <v>919</v>
      </c>
      <c r="T24" s="82" t="str">
        <f>HYPERLINK("http://www.youtube.com/channel/UCIuBeymsrTVZxiIMI6614Cg")</f>
        <v>http://www.youtube.com/channel/UCIuBeymsrTVZxiIMI6614Cg</v>
      </c>
      <c r="U24" s="80" t="s">
        <v>1079</v>
      </c>
      <c r="V24" s="80" t="s">
        <v>1199</v>
      </c>
      <c r="W24" s="82" t="str">
        <f>HYPERLINK("https://www.youtube.com/watch?v=cTqFNg_y9lw")</f>
        <v>https://www.youtube.com/watch?v=cTqFNg_y9lw</v>
      </c>
      <c r="X24" s="80" t="s">
        <v>213</v>
      </c>
      <c r="Y24" s="80">
        <v>0</v>
      </c>
      <c r="Z24" s="84">
        <v>44000.4940162037</v>
      </c>
      <c r="AA24" s="84">
        <v>44000.4940162037</v>
      </c>
      <c r="AB24" s="80"/>
      <c r="AC24" s="80"/>
      <c r="AD24" s="80"/>
      <c r="AE24" s="80">
        <v>2</v>
      </c>
      <c r="AF24" s="79" t="str">
        <f>REPLACE(INDEX(GroupVertices[Group],MATCH(Edges[[#This Row],[Vertex 1]],GroupVertices[Vertex],0)),1,1,"")</f>
        <v>5</v>
      </c>
      <c r="AG24" s="79" t="str">
        <f>REPLACE(INDEX(GroupVertices[Group],MATCH(Edges[[#This Row],[Vertex 2]],GroupVertices[Vertex],0)),1,1,"")</f>
        <v>5</v>
      </c>
      <c r="AH24" s="34"/>
      <c r="AI24" s="34"/>
      <c r="AJ24" s="34"/>
      <c r="AK24" s="34"/>
      <c r="AL24" s="34"/>
      <c r="AM24" s="34"/>
      <c r="AN24" s="34"/>
      <c r="AO24" s="34"/>
      <c r="AP24" s="34"/>
    </row>
    <row r="25" spans="1:42" ht="15">
      <c r="A25" s="65" t="s">
        <v>458</v>
      </c>
      <c r="B25" s="65" t="s">
        <v>458</v>
      </c>
      <c r="C25" s="66" t="s">
        <v>1853</v>
      </c>
      <c r="D25" s="67">
        <v>2</v>
      </c>
      <c r="E25" s="68"/>
      <c r="F25" s="69">
        <v>32</v>
      </c>
      <c r="G25" s="66"/>
      <c r="H25" s="70"/>
      <c r="I25" s="71"/>
      <c r="J25" s="71"/>
      <c r="K25" s="34" t="s">
        <v>65</v>
      </c>
      <c r="L25" s="78">
        <v>25</v>
      </c>
      <c r="M25" s="78"/>
      <c r="N25" s="73"/>
      <c r="O25" s="80" t="s">
        <v>211</v>
      </c>
      <c r="P25" s="80" t="s">
        <v>212</v>
      </c>
      <c r="Q25" s="80" t="s">
        <v>633</v>
      </c>
      <c r="R25" s="80" t="s">
        <v>458</v>
      </c>
      <c r="S25" s="80" t="s">
        <v>920</v>
      </c>
      <c r="T25" s="82" t="str">
        <f>HYPERLINK("http://www.youtube.com/channel/UC4whMI1SFiEZvJZiKMgwCnQ")</f>
        <v>http://www.youtube.com/channel/UC4whMI1SFiEZvJZiKMgwCnQ</v>
      </c>
      <c r="U25" s="80" t="s">
        <v>1079</v>
      </c>
      <c r="V25" s="80" t="s">
        <v>1199</v>
      </c>
      <c r="W25" s="82" t="str">
        <f>HYPERLINK("https://www.youtube.com/watch?v=cTqFNg_y9lw")</f>
        <v>https://www.youtube.com/watch?v=cTqFNg_y9lw</v>
      </c>
      <c r="X25" s="80" t="s">
        <v>213</v>
      </c>
      <c r="Y25" s="80">
        <v>0</v>
      </c>
      <c r="Z25" s="84">
        <v>44000.48326388889</v>
      </c>
      <c r="AA25" s="84">
        <v>44000.48326388889</v>
      </c>
      <c r="AB25" s="80"/>
      <c r="AC25" s="80"/>
      <c r="AD25" s="80"/>
      <c r="AE25" s="80">
        <v>1</v>
      </c>
      <c r="AF25" s="79" t="str">
        <f>REPLACE(INDEX(GroupVertices[Group],MATCH(Edges[[#This Row],[Vertex 1]],GroupVertices[Vertex],0)),1,1,"")</f>
        <v>5</v>
      </c>
      <c r="AG25" s="79" t="str">
        <f>REPLACE(INDEX(GroupVertices[Group],MATCH(Edges[[#This Row],[Vertex 2]],GroupVertices[Vertex],0)),1,1,"")</f>
        <v>5</v>
      </c>
      <c r="AH25" s="34"/>
      <c r="AI25" s="34"/>
      <c r="AJ25" s="34"/>
      <c r="AK25" s="34"/>
      <c r="AL25" s="34"/>
      <c r="AM25" s="34"/>
      <c r="AN25" s="34"/>
      <c r="AO25" s="34"/>
      <c r="AP25" s="34"/>
    </row>
    <row r="26" spans="1:42" ht="15">
      <c r="A26" s="65" t="s">
        <v>458</v>
      </c>
      <c r="B26" s="65" t="s">
        <v>451</v>
      </c>
      <c r="C26" s="66" t="s">
        <v>1853</v>
      </c>
      <c r="D26" s="67">
        <v>2</v>
      </c>
      <c r="E26" s="68"/>
      <c r="F26" s="69">
        <v>32</v>
      </c>
      <c r="G26" s="66"/>
      <c r="H26" s="70"/>
      <c r="I26" s="71"/>
      <c r="J26" s="71"/>
      <c r="K26" s="34" t="s">
        <v>65</v>
      </c>
      <c r="L26" s="78">
        <v>26</v>
      </c>
      <c r="M26" s="78"/>
      <c r="N26" s="73"/>
      <c r="O26" s="80" t="s">
        <v>210</v>
      </c>
      <c r="P26" s="80" t="s">
        <v>196</v>
      </c>
      <c r="Q26" s="80" t="s">
        <v>634</v>
      </c>
      <c r="R26" s="80" t="s">
        <v>458</v>
      </c>
      <c r="S26" s="80" t="s">
        <v>920</v>
      </c>
      <c r="T26" s="82" t="str">
        <f>HYPERLINK("http://www.youtube.com/channel/UC4whMI1SFiEZvJZiKMgwCnQ")</f>
        <v>http://www.youtube.com/channel/UC4whMI1SFiEZvJZiKMgwCnQ</v>
      </c>
      <c r="U26" s="80"/>
      <c r="V26" s="80" t="s">
        <v>1199</v>
      </c>
      <c r="W26" s="82" t="str">
        <f>HYPERLINK("https://www.youtube.com/watch?v=cTqFNg_y9lw")</f>
        <v>https://www.youtube.com/watch?v=cTqFNg_y9lw</v>
      </c>
      <c r="X26" s="80" t="s">
        <v>213</v>
      </c>
      <c r="Y26" s="80">
        <v>0</v>
      </c>
      <c r="Z26" s="84">
        <v>43999.3497337963</v>
      </c>
      <c r="AA26" s="84">
        <v>43999.3497337963</v>
      </c>
      <c r="AB26" s="80"/>
      <c r="AC26" s="80"/>
      <c r="AD26" s="80"/>
      <c r="AE26" s="80">
        <v>1</v>
      </c>
      <c r="AF26" s="79" t="str">
        <f>REPLACE(INDEX(GroupVertices[Group],MATCH(Edges[[#This Row],[Vertex 1]],GroupVertices[Vertex],0)),1,1,"")</f>
        <v>5</v>
      </c>
      <c r="AG26" s="79" t="str">
        <f>REPLACE(INDEX(GroupVertices[Group],MATCH(Edges[[#This Row],[Vertex 2]],GroupVertices[Vertex],0)),1,1,"")</f>
        <v>5</v>
      </c>
      <c r="AH26" s="34"/>
      <c r="AI26" s="34"/>
      <c r="AJ26" s="34"/>
      <c r="AK26" s="34"/>
      <c r="AL26" s="34"/>
      <c r="AM26" s="34"/>
      <c r="AN26" s="34"/>
      <c r="AO26" s="34"/>
      <c r="AP26" s="34"/>
    </row>
    <row r="27" spans="1:42" ht="15">
      <c r="A27" s="65" t="s">
        <v>451</v>
      </c>
      <c r="B27" s="65" t="s">
        <v>459</v>
      </c>
      <c r="C27" s="66" t="s">
        <v>1853</v>
      </c>
      <c r="D27" s="67">
        <v>2</v>
      </c>
      <c r="E27" s="68"/>
      <c r="F27" s="69">
        <v>32</v>
      </c>
      <c r="G27" s="66"/>
      <c r="H27" s="70"/>
      <c r="I27" s="71"/>
      <c r="J27" s="71"/>
      <c r="K27" s="34" t="s">
        <v>66</v>
      </c>
      <c r="L27" s="78">
        <v>27</v>
      </c>
      <c r="M27" s="78"/>
      <c r="N27" s="73"/>
      <c r="O27" s="80" t="s">
        <v>211</v>
      </c>
      <c r="P27" s="80" t="s">
        <v>212</v>
      </c>
      <c r="Q27" s="80" t="s">
        <v>635</v>
      </c>
      <c r="R27" s="80" t="s">
        <v>451</v>
      </c>
      <c r="S27" s="80" t="s">
        <v>913</v>
      </c>
      <c r="T27" s="82" t="str">
        <f>HYPERLINK("http://www.youtube.com/channel/UC-h-wArcxJC8zBOD-UxfCOg")</f>
        <v>http://www.youtube.com/channel/UC-h-wArcxJC8zBOD-UxfCOg</v>
      </c>
      <c r="U27" s="80" t="s">
        <v>1080</v>
      </c>
      <c r="V27" s="80" t="s">
        <v>1199</v>
      </c>
      <c r="W27" s="82" t="str">
        <f>HYPERLINK("https://www.youtube.com/watch?v=cTqFNg_y9lw")</f>
        <v>https://www.youtube.com/watch?v=cTqFNg_y9lw</v>
      </c>
      <c r="X27" s="80" t="s">
        <v>213</v>
      </c>
      <c r="Y27" s="80">
        <v>0</v>
      </c>
      <c r="Z27" s="84">
        <v>43999.23633101852</v>
      </c>
      <c r="AA27" s="84">
        <v>43999.23633101852</v>
      </c>
      <c r="AB27" s="80"/>
      <c r="AC27" s="80"/>
      <c r="AD27" s="80"/>
      <c r="AE27" s="80">
        <v>1</v>
      </c>
      <c r="AF27" s="79" t="str">
        <f>REPLACE(INDEX(GroupVertices[Group],MATCH(Edges[[#This Row],[Vertex 1]],GroupVertices[Vertex],0)),1,1,"")</f>
        <v>5</v>
      </c>
      <c r="AG27" s="79" t="str">
        <f>REPLACE(INDEX(GroupVertices[Group],MATCH(Edges[[#This Row],[Vertex 2]],GroupVertices[Vertex],0)),1,1,"")</f>
        <v>5</v>
      </c>
      <c r="AH27" s="34"/>
      <c r="AI27" s="34"/>
      <c r="AJ27" s="34"/>
      <c r="AK27" s="34"/>
      <c r="AL27" s="34"/>
      <c r="AM27" s="34"/>
      <c r="AN27" s="34"/>
      <c r="AO27" s="34"/>
      <c r="AP27" s="34"/>
    </row>
    <row r="28" spans="1:42" ht="15">
      <c r="A28" s="65" t="s">
        <v>459</v>
      </c>
      <c r="B28" s="65" t="s">
        <v>451</v>
      </c>
      <c r="C28" s="66" t="s">
        <v>1853</v>
      </c>
      <c r="D28" s="67">
        <v>2</v>
      </c>
      <c r="E28" s="68"/>
      <c r="F28" s="69">
        <v>32</v>
      </c>
      <c r="G28" s="66"/>
      <c r="H28" s="70"/>
      <c r="I28" s="71"/>
      <c r="J28" s="71"/>
      <c r="K28" s="34" t="s">
        <v>66</v>
      </c>
      <c r="L28" s="78">
        <v>28</v>
      </c>
      <c r="M28" s="78"/>
      <c r="N28" s="73"/>
      <c r="O28" s="80" t="s">
        <v>210</v>
      </c>
      <c r="P28" s="80" t="s">
        <v>196</v>
      </c>
      <c r="Q28" s="80" t="s">
        <v>636</v>
      </c>
      <c r="R28" s="80" t="s">
        <v>459</v>
      </c>
      <c r="S28" s="80" t="s">
        <v>921</v>
      </c>
      <c r="T28" s="82" t="str">
        <f>HYPERLINK("http://www.youtube.com/channel/UCQGkbd6oU8-AFpzS46ms-pw")</f>
        <v>http://www.youtube.com/channel/UCQGkbd6oU8-AFpzS46ms-pw</v>
      </c>
      <c r="U28" s="80"/>
      <c r="V28" s="80" t="s">
        <v>1199</v>
      </c>
      <c r="W28" s="82" t="str">
        <f>HYPERLINK("https://www.youtube.com/watch?v=cTqFNg_y9lw")</f>
        <v>https://www.youtube.com/watch?v=cTqFNg_y9lw</v>
      </c>
      <c r="X28" s="80" t="s">
        <v>213</v>
      </c>
      <c r="Y28" s="80">
        <v>2</v>
      </c>
      <c r="Z28" s="84">
        <v>43999.180914351855</v>
      </c>
      <c r="AA28" s="84">
        <v>43999.180914351855</v>
      </c>
      <c r="AB28" s="80"/>
      <c r="AC28" s="80"/>
      <c r="AD28" s="80"/>
      <c r="AE28" s="80">
        <v>1</v>
      </c>
      <c r="AF28" s="79" t="str">
        <f>REPLACE(INDEX(GroupVertices[Group],MATCH(Edges[[#This Row],[Vertex 1]],GroupVertices[Vertex],0)),1,1,"")</f>
        <v>5</v>
      </c>
      <c r="AG28" s="79" t="str">
        <f>REPLACE(INDEX(GroupVertices[Group],MATCH(Edges[[#This Row],[Vertex 2]],GroupVertices[Vertex],0)),1,1,"")</f>
        <v>5</v>
      </c>
      <c r="AH28" s="34"/>
      <c r="AI28" s="34"/>
      <c r="AJ28" s="34"/>
      <c r="AK28" s="34"/>
      <c r="AL28" s="34"/>
      <c r="AM28" s="34"/>
      <c r="AN28" s="34"/>
      <c r="AO28" s="34"/>
      <c r="AP28" s="34"/>
    </row>
    <row r="29" spans="1:42" ht="15">
      <c r="A29" s="65" t="s">
        <v>459</v>
      </c>
      <c r="B29" s="65" t="s">
        <v>460</v>
      </c>
      <c r="C29" s="66" t="s">
        <v>1833</v>
      </c>
      <c r="D29" s="67">
        <v>2</v>
      </c>
      <c r="E29" s="68"/>
      <c r="F29" s="69">
        <v>32</v>
      </c>
      <c r="G29" s="66"/>
      <c r="H29" s="70"/>
      <c r="I29" s="71"/>
      <c r="J29" s="71"/>
      <c r="K29" s="34" t="s">
        <v>65</v>
      </c>
      <c r="L29" s="78">
        <v>29</v>
      </c>
      <c r="M29" s="78"/>
      <c r="N29" s="73"/>
      <c r="O29" s="80" t="s">
        <v>211</v>
      </c>
      <c r="P29" s="80" t="s">
        <v>212</v>
      </c>
      <c r="Q29" s="80" t="s">
        <v>637</v>
      </c>
      <c r="R29" s="80" t="s">
        <v>459</v>
      </c>
      <c r="S29" s="80" t="s">
        <v>921</v>
      </c>
      <c r="T29" s="82" t="str">
        <f>HYPERLINK("http://www.youtube.com/channel/UCQGkbd6oU8-AFpzS46ms-pw")</f>
        <v>http://www.youtube.com/channel/UCQGkbd6oU8-AFpzS46ms-pw</v>
      </c>
      <c r="U29" s="80" t="s">
        <v>1081</v>
      </c>
      <c r="V29" s="80" t="s">
        <v>1199</v>
      </c>
      <c r="W29" s="82" t="str">
        <f>HYPERLINK("https://www.youtube.com/watch?v=cTqFNg_y9lw")</f>
        <v>https://www.youtube.com/watch?v=cTqFNg_y9lw</v>
      </c>
      <c r="X29" s="80" t="s">
        <v>213</v>
      </c>
      <c r="Y29" s="80">
        <v>0</v>
      </c>
      <c r="Z29" s="84">
        <v>44001.85524305556</v>
      </c>
      <c r="AA29" s="84">
        <v>44001.85524305556</v>
      </c>
      <c r="AB29" s="80"/>
      <c r="AC29" s="80"/>
      <c r="AD29" s="80"/>
      <c r="AE29" s="80">
        <v>2</v>
      </c>
      <c r="AF29" s="79" t="str">
        <f>REPLACE(INDEX(GroupVertices[Group],MATCH(Edges[[#This Row],[Vertex 1]],GroupVertices[Vertex],0)),1,1,"")</f>
        <v>5</v>
      </c>
      <c r="AG29" s="79" t="str">
        <f>REPLACE(INDEX(GroupVertices[Group],MATCH(Edges[[#This Row],[Vertex 2]],GroupVertices[Vertex],0)),1,1,"")</f>
        <v>5</v>
      </c>
      <c r="AH29" s="34"/>
      <c r="AI29" s="34"/>
      <c r="AJ29" s="34"/>
      <c r="AK29" s="34"/>
      <c r="AL29" s="34"/>
      <c r="AM29" s="34"/>
      <c r="AN29" s="34"/>
      <c r="AO29" s="34"/>
      <c r="AP29" s="34"/>
    </row>
    <row r="30" spans="1:42" ht="15">
      <c r="A30" s="65" t="s">
        <v>459</v>
      </c>
      <c r="B30" s="65" t="s">
        <v>460</v>
      </c>
      <c r="C30" s="66" t="s">
        <v>1833</v>
      </c>
      <c r="D30" s="67">
        <v>2</v>
      </c>
      <c r="E30" s="68"/>
      <c r="F30" s="69">
        <v>32</v>
      </c>
      <c r="G30" s="66"/>
      <c r="H30" s="70"/>
      <c r="I30" s="71"/>
      <c r="J30" s="71"/>
      <c r="K30" s="34" t="s">
        <v>65</v>
      </c>
      <c r="L30" s="78">
        <v>30</v>
      </c>
      <c r="M30" s="78"/>
      <c r="N30" s="73"/>
      <c r="O30" s="80" t="s">
        <v>211</v>
      </c>
      <c r="P30" s="80" t="s">
        <v>212</v>
      </c>
      <c r="Q30" s="80" t="s">
        <v>638</v>
      </c>
      <c r="R30" s="80" t="s">
        <v>459</v>
      </c>
      <c r="S30" s="80" t="s">
        <v>921</v>
      </c>
      <c r="T30" s="82" t="str">
        <f>HYPERLINK("http://www.youtube.com/channel/UCQGkbd6oU8-AFpzS46ms-pw")</f>
        <v>http://www.youtube.com/channel/UCQGkbd6oU8-AFpzS46ms-pw</v>
      </c>
      <c r="U30" s="80" t="s">
        <v>1081</v>
      </c>
      <c r="V30" s="80" t="s">
        <v>1199</v>
      </c>
      <c r="W30" s="82" t="str">
        <f>HYPERLINK("https://www.youtube.com/watch?v=cTqFNg_y9lw")</f>
        <v>https://www.youtube.com/watch?v=cTqFNg_y9lw</v>
      </c>
      <c r="X30" s="80" t="s">
        <v>213</v>
      </c>
      <c r="Y30" s="80">
        <v>0</v>
      </c>
      <c r="Z30" s="84">
        <v>44002.97773148148</v>
      </c>
      <c r="AA30" s="84">
        <v>44002.97773148148</v>
      </c>
      <c r="AB30" s="80"/>
      <c r="AC30" s="80"/>
      <c r="AD30" s="80"/>
      <c r="AE30" s="80">
        <v>2</v>
      </c>
      <c r="AF30" s="79" t="str">
        <f>REPLACE(INDEX(GroupVertices[Group],MATCH(Edges[[#This Row],[Vertex 1]],GroupVertices[Vertex],0)),1,1,"")</f>
        <v>5</v>
      </c>
      <c r="AG30" s="79" t="str">
        <f>REPLACE(INDEX(GroupVertices[Group],MATCH(Edges[[#This Row],[Vertex 2]],GroupVertices[Vertex],0)),1,1,"")</f>
        <v>5</v>
      </c>
      <c r="AH30" s="34"/>
      <c r="AI30" s="34"/>
      <c r="AJ30" s="34"/>
      <c r="AK30" s="34"/>
      <c r="AL30" s="34"/>
      <c r="AM30" s="34"/>
      <c r="AN30" s="34"/>
      <c r="AO30" s="34"/>
      <c r="AP30" s="34"/>
    </row>
    <row r="31" spans="1:42" ht="15">
      <c r="A31" s="65" t="s">
        <v>460</v>
      </c>
      <c r="B31" s="65" t="s">
        <v>451</v>
      </c>
      <c r="C31" s="66" t="s">
        <v>1853</v>
      </c>
      <c r="D31" s="67">
        <v>2</v>
      </c>
      <c r="E31" s="68"/>
      <c r="F31" s="69">
        <v>32</v>
      </c>
      <c r="G31" s="66"/>
      <c r="H31" s="70"/>
      <c r="I31" s="71"/>
      <c r="J31" s="71"/>
      <c r="K31" s="34" t="s">
        <v>65</v>
      </c>
      <c r="L31" s="78">
        <v>31</v>
      </c>
      <c r="M31" s="78"/>
      <c r="N31" s="73"/>
      <c r="O31" s="80" t="s">
        <v>210</v>
      </c>
      <c r="P31" s="80" t="s">
        <v>196</v>
      </c>
      <c r="Q31" s="80" t="s">
        <v>639</v>
      </c>
      <c r="R31" s="80" t="s">
        <v>460</v>
      </c>
      <c r="S31" s="80" t="s">
        <v>922</v>
      </c>
      <c r="T31" s="82" t="str">
        <f>HYPERLINK("http://www.youtube.com/channel/UCcX7XxMECeuapEGi_q0Wzng")</f>
        <v>http://www.youtube.com/channel/UCcX7XxMECeuapEGi_q0Wzng</v>
      </c>
      <c r="U31" s="80"/>
      <c r="V31" s="80" t="s">
        <v>1199</v>
      </c>
      <c r="W31" s="82" t="str">
        <f>HYPERLINK("https://www.youtube.com/watch?v=cTqFNg_y9lw")</f>
        <v>https://www.youtube.com/watch?v=cTqFNg_y9lw</v>
      </c>
      <c r="X31" s="80" t="s">
        <v>213</v>
      </c>
      <c r="Y31" s="80">
        <v>0</v>
      </c>
      <c r="Z31" s="84">
        <v>43999.87559027778</v>
      </c>
      <c r="AA31" s="84">
        <v>43999.87559027778</v>
      </c>
      <c r="AB31" s="80"/>
      <c r="AC31" s="80"/>
      <c r="AD31" s="80"/>
      <c r="AE31" s="80">
        <v>1</v>
      </c>
      <c r="AF31" s="79" t="str">
        <f>REPLACE(INDEX(GroupVertices[Group],MATCH(Edges[[#This Row],[Vertex 1]],GroupVertices[Vertex],0)),1,1,"")</f>
        <v>5</v>
      </c>
      <c r="AG31" s="79" t="str">
        <f>REPLACE(INDEX(GroupVertices[Group],MATCH(Edges[[#This Row],[Vertex 2]],GroupVertices[Vertex],0)),1,1,"")</f>
        <v>5</v>
      </c>
      <c r="AH31" s="34"/>
      <c r="AI31" s="34"/>
      <c r="AJ31" s="34"/>
      <c r="AK31" s="34"/>
      <c r="AL31" s="34"/>
      <c r="AM31" s="34"/>
      <c r="AN31" s="34"/>
      <c r="AO31" s="34"/>
      <c r="AP31" s="34"/>
    </row>
    <row r="32" spans="1:42" ht="15">
      <c r="A32" s="65" t="s">
        <v>461</v>
      </c>
      <c r="B32" s="65" t="s">
        <v>462</v>
      </c>
      <c r="C32" s="66" t="s">
        <v>1853</v>
      </c>
      <c r="D32" s="67">
        <v>2</v>
      </c>
      <c r="E32" s="68"/>
      <c r="F32" s="69">
        <v>32</v>
      </c>
      <c r="G32" s="66"/>
      <c r="H32" s="70"/>
      <c r="I32" s="71"/>
      <c r="J32" s="71"/>
      <c r="K32" s="34" t="s">
        <v>66</v>
      </c>
      <c r="L32" s="78">
        <v>32</v>
      </c>
      <c r="M32" s="78"/>
      <c r="N32" s="73"/>
      <c r="O32" s="80" t="s">
        <v>211</v>
      </c>
      <c r="P32" s="80" t="s">
        <v>212</v>
      </c>
      <c r="Q32" s="80" t="s">
        <v>640</v>
      </c>
      <c r="R32" s="80" t="s">
        <v>461</v>
      </c>
      <c r="S32" s="80" t="s">
        <v>923</v>
      </c>
      <c r="T32" s="82" t="str">
        <f>HYPERLINK("http://www.youtube.com/channel/UCFp1vaKzpfvoGai0vE5VJ0w")</f>
        <v>http://www.youtube.com/channel/UCFp1vaKzpfvoGai0vE5VJ0w</v>
      </c>
      <c r="U32" s="80" t="s">
        <v>1082</v>
      </c>
      <c r="V32" s="80" t="s">
        <v>1200</v>
      </c>
      <c r="W32" s="82" t="str">
        <f>HYPERLINK("https://www.youtube.com/watch?v=oN6mOmEruOQ")</f>
        <v>https://www.youtube.com/watch?v=oN6mOmEruOQ</v>
      </c>
      <c r="X32" s="80" t="s">
        <v>213</v>
      </c>
      <c r="Y32" s="80">
        <v>0</v>
      </c>
      <c r="Z32" s="84">
        <v>44000.611967592595</v>
      </c>
      <c r="AA32" s="84">
        <v>44000.611967592595</v>
      </c>
      <c r="AB32" s="80"/>
      <c r="AC32" s="80"/>
      <c r="AD32" s="80"/>
      <c r="AE32" s="80">
        <v>1</v>
      </c>
      <c r="AF32" s="79" t="str">
        <f>REPLACE(INDEX(GroupVertices[Group],MATCH(Edges[[#This Row],[Vertex 1]],GroupVertices[Vertex],0)),1,1,"")</f>
        <v>2</v>
      </c>
      <c r="AG32" s="79" t="str">
        <f>REPLACE(INDEX(GroupVertices[Group],MATCH(Edges[[#This Row],[Vertex 2]],GroupVertices[Vertex],0)),1,1,"")</f>
        <v>2</v>
      </c>
      <c r="AH32" s="34"/>
      <c r="AI32" s="34"/>
      <c r="AJ32" s="34"/>
      <c r="AK32" s="34"/>
      <c r="AL32" s="34"/>
      <c r="AM32" s="34"/>
      <c r="AN32" s="34"/>
      <c r="AO32" s="34"/>
      <c r="AP32" s="34"/>
    </row>
    <row r="33" spans="1:42" ht="15">
      <c r="A33" s="65" t="s">
        <v>462</v>
      </c>
      <c r="B33" s="65" t="s">
        <v>462</v>
      </c>
      <c r="C33" s="66" t="s">
        <v>1853</v>
      </c>
      <c r="D33" s="67">
        <v>2</v>
      </c>
      <c r="E33" s="68"/>
      <c r="F33" s="69">
        <v>32</v>
      </c>
      <c r="G33" s="66"/>
      <c r="H33" s="70"/>
      <c r="I33" s="71"/>
      <c r="J33" s="71"/>
      <c r="K33" s="34" t="s">
        <v>65</v>
      </c>
      <c r="L33" s="78">
        <v>33</v>
      </c>
      <c r="M33" s="78"/>
      <c r="N33" s="73"/>
      <c r="O33" s="80" t="s">
        <v>211</v>
      </c>
      <c r="P33" s="80" t="s">
        <v>212</v>
      </c>
      <c r="Q33" s="80" t="s">
        <v>641</v>
      </c>
      <c r="R33" s="80" t="s">
        <v>462</v>
      </c>
      <c r="S33" s="80" t="s">
        <v>924</v>
      </c>
      <c r="T33" s="82" t="str">
        <f>HYPERLINK("http://www.youtube.com/channel/UCUNTlJDKLzxxGo0tmKLbdOQ")</f>
        <v>http://www.youtube.com/channel/UCUNTlJDKLzxxGo0tmKLbdOQ</v>
      </c>
      <c r="U33" s="80" t="s">
        <v>1082</v>
      </c>
      <c r="V33" s="80" t="s">
        <v>1200</v>
      </c>
      <c r="W33" s="82" t="str">
        <f>HYPERLINK("https://www.youtube.com/watch?v=oN6mOmEruOQ")</f>
        <v>https://www.youtube.com/watch?v=oN6mOmEruOQ</v>
      </c>
      <c r="X33" s="80" t="s">
        <v>213</v>
      </c>
      <c r="Y33" s="80">
        <v>0</v>
      </c>
      <c r="Z33" s="84">
        <v>44000.61403935185</v>
      </c>
      <c r="AA33" s="84">
        <v>44000.61403935185</v>
      </c>
      <c r="AB33" s="80"/>
      <c r="AC33" s="80"/>
      <c r="AD33" s="80"/>
      <c r="AE33" s="80">
        <v>1</v>
      </c>
      <c r="AF33" s="79" t="str">
        <f>REPLACE(INDEX(GroupVertices[Group],MATCH(Edges[[#This Row],[Vertex 1]],GroupVertices[Vertex],0)),1,1,"")</f>
        <v>2</v>
      </c>
      <c r="AG33" s="79" t="str">
        <f>REPLACE(INDEX(GroupVertices[Group],MATCH(Edges[[#This Row],[Vertex 2]],GroupVertices[Vertex],0)),1,1,"")</f>
        <v>2</v>
      </c>
      <c r="AH33" s="34"/>
      <c r="AI33" s="34"/>
      <c r="AJ33" s="34"/>
      <c r="AK33" s="34"/>
      <c r="AL33" s="34"/>
      <c r="AM33" s="34"/>
      <c r="AN33" s="34"/>
      <c r="AO33" s="34"/>
      <c r="AP33" s="34"/>
    </row>
    <row r="34" spans="1:42" ht="15">
      <c r="A34" s="65" t="s">
        <v>462</v>
      </c>
      <c r="B34" s="65" t="s">
        <v>461</v>
      </c>
      <c r="C34" s="66" t="s">
        <v>1853</v>
      </c>
      <c r="D34" s="67">
        <v>2</v>
      </c>
      <c r="E34" s="68"/>
      <c r="F34" s="69">
        <v>32</v>
      </c>
      <c r="G34" s="66"/>
      <c r="H34" s="70"/>
      <c r="I34" s="71"/>
      <c r="J34" s="71"/>
      <c r="K34" s="34" t="s">
        <v>66</v>
      </c>
      <c r="L34" s="78">
        <v>34</v>
      </c>
      <c r="M34" s="78"/>
      <c r="N34" s="73"/>
      <c r="O34" s="80" t="s">
        <v>210</v>
      </c>
      <c r="P34" s="80" t="s">
        <v>196</v>
      </c>
      <c r="Q34" s="80" t="s">
        <v>642</v>
      </c>
      <c r="R34" s="80" t="s">
        <v>462</v>
      </c>
      <c r="S34" s="80" t="s">
        <v>924</v>
      </c>
      <c r="T34" s="82" t="str">
        <f>HYPERLINK("http://www.youtube.com/channel/UCUNTlJDKLzxxGo0tmKLbdOQ")</f>
        <v>http://www.youtube.com/channel/UCUNTlJDKLzxxGo0tmKLbdOQ</v>
      </c>
      <c r="U34" s="80"/>
      <c r="V34" s="80" t="s">
        <v>1200</v>
      </c>
      <c r="W34" s="82" t="str">
        <f>HYPERLINK("https://www.youtube.com/watch?v=oN6mOmEruOQ")</f>
        <v>https://www.youtube.com/watch?v=oN6mOmEruOQ</v>
      </c>
      <c r="X34" s="80" t="s">
        <v>213</v>
      </c>
      <c r="Y34" s="80">
        <v>3</v>
      </c>
      <c r="Z34" s="84">
        <v>43998.712372685186</v>
      </c>
      <c r="AA34" s="84">
        <v>43998.712372685186</v>
      </c>
      <c r="AB34" s="80"/>
      <c r="AC34" s="80"/>
      <c r="AD34" s="80"/>
      <c r="AE34" s="80">
        <v>1</v>
      </c>
      <c r="AF34" s="79" t="str">
        <f>REPLACE(INDEX(GroupVertices[Group],MATCH(Edges[[#This Row],[Vertex 1]],GroupVertices[Vertex],0)),1,1,"")</f>
        <v>2</v>
      </c>
      <c r="AG34" s="79" t="str">
        <f>REPLACE(INDEX(GroupVertices[Group],MATCH(Edges[[#This Row],[Vertex 2]],GroupVertices[Vertex],0)),1,1,"")</f>
        <v>2</v>
      </c>
      <c r="AH34" s="34"/>
      <c r="AI34" s="34"/>
      <c r="AJ34" s="34"/>
      <c r="AK34" s="34"/>
      <c r="AL34" s="34"/>
      <c r="AM34" s="34"/>
      <c r="AN34" s="34"/>
      <c r="AO34" s="34"/>
      <c r="AP34" s="34"/>
    </row>
    <row r="35" spans="1:42" ht="15">
      <c r="A35" s="65" t="s">
        <v>463</v>
      </c>
      <c r="B35" s="65" t="s">
        <v>480</v>
      </c>
      <c r="C35" s="66" t="s">
        <v>1853</v>
      </c>
      <c r="D35" s="67">
        <v>2</v>
      </c>
      <c r="E35" s="68"/>
      <c r="F35" s="69">
        <v>32</v>
      </c>
      <c r="G35" s="66"/>
      <c r="H35" s="70"/>
      <c r="I35" s="71"/>
      <c r="J35" s="71"/>
      <c r="K35" s="34" t="s">
        <v>65</v>
      </c>
      <c r="L35" s="78">
        <v>35</v>
      </c>
      <c r="M35" s="78"/>
      <c r="N35" s="73"/>
      <c r="O35" s="80" t="s">
        <v>211</v>
      </c>
      <c r="P35" s="80" t="s">
        <v>212</v>
      </c>
      <c r="Q35" s="80" t="s">
        <v>643</v>
      </c>
      <c r="R35" s="80" t="s">
        <v>463</v>
      </c>
      <c r="S35" s="80" t="s">
        <v>925</v>
      </c>
      <c r="T35" s="82" t="str">
        <f>HYPERLINK("http://www.youtube.com/channel/UCZY2pH0KI4TPqqx6gzMebOA")</f>
        <v>http://www.youtube.com/channel/UCZY2pH0KI4TPqqx6gzMebOA</v>
      </c>
      <c r="U35" s="80" t="s">
        <v>1083</v>
      </c>
      <c r="V35" s="80" t="s">
        <v>1200</v>
      </c>
      <c r="W35" s="82" t="str">
        <f>HYPERLINK("https://www.youtube.com/watch?v=oN6mOmEruOQ")</f>
        <v>https://www.youtube.com/watch?v=oN6mOmEruOQ</v>
      </c>
      <c r="X35" s="80" t="s">
        <v>213</v>
      </c>
      <c r="Y35" s="80">
        <v>0</v>
      </c>
      <c r="Z35" s="84">
        <v>43998.75206018519</v>
      </c>
      <c r="AA35" s="84">
        <v>43998.75206018519</v>
      </c>
      <c r="AB35" s="80"/>
      <c r="AC35" s="80"/>
      <c r="AD35" s="80"/>
      <c r="AE35" s="80">
        <v>1</v>
      </c>
      <c r="AF35" s="79" t="str">
        <f>REPLACE(INDEX(GroupVertices[Group],MATCH(Edges[[#This Row],[Vertex 1]],GroupVertices[Vertex],0)),1,1,"")</f>
        <v>12</v>
      </c>
      <c r="AG35" s="79" t="str">
        <f>REPLACE(INDEX(GroupVertices[Group],MATCH(Edges[[#This Row],[Vertex 2]],GroupVertices[Vertex],0)),1,1,"")</f>
        <v>12</v>
      </c>
      <c r="AH35" s="34"/>
      <c r="AI35" s="34"/>
      <c r="AJ35" s="34"/>
      <c r="AK35" s="34"/>
      <c r="AL35" s="34"/>
      <c r="AM35" s="34"/>
      <c r="AN35" s="34"/>
      <c r="AO35" s="34"/>
      <c r="AP35" s="34"/>
    </row>
    <row r="36" spans="1:42" ht="15">
      <c r="A36" s="65" t="s">
        <v>464</v>
      </c>
      <c r="B36" s="65" t="s">
        <v>480</v>
      </c>
      <c r="C36" s="66" t="s">
        <v>1853</v>
      </c>
      <c r="D36" s="67">
        <v>2</v>
      </c>
      <c r="E36" s="68"/>
      <c r="F36" s="69">
        <v>32</v>
      </c>
      <c r="G36" s="66"/>
      <c r="H36" s="70"/>
      <c r="I36" s="71"/>
      <c r="J36" s="71"/>
      <c r="K36" s="34" t="s">
        <v>65</v>
      </c>
      <c r="L36" s="78">
        <v>36</v>
      </c>
      <c r="M36" s="78"/>
      <c r="N36" s="73"/>
      <c r="O36" s="80" t="s">
        <v>211</v>
      </c>
      <c r="P36" s="80" t="s">
        <v>212</v>
      </c>
      <c r="Q36" s="80" t="s">
        <v>644</v>
      </c>
      <c r="R36" s="80" t="s">
        <v>464</v>
      </c>
      <c r="S36" s="80" t="s">
        <v>926</v>
      </c>
      <c r="T36" s="82" t="str">
        <f>HYPERLINK("http://www.youtube.com/channel/UCyFw7GgDJILLOxaRSxQ3Evw")</f>
        <v>http://www.youtube.com/channel/UCyFw7GgDJILLOxaRSxQ3Evw</v>
      </c>
      <c r="U36" s="80" t="s">
        <v>1083</v>
      </c>
      <c r="V36" s="80" t="s">
        <v>1200</v>
      </c>
      <c r="W36" s="82" t="str">
        <f>HYPERLINK("https://www.youtube.com/watch?v=oN6mOmEruOQ")</f>
        <v>https://www.youtube.com/watch?v=oN6mOmEruOQ</v>
      </c>
      <c r="X36" s="80" t="s">
        <v>213</v>
      </c>
      <c r="Y36" s="80">
        <v>0</v>
      </c>
      <c r="Z36" s="84">
        <v>43999.1009837963</v>
      </c>
      <c r="AA36" s="84">
        <v>43999.1009837963</v>
      </c>
      <c r="AB36" s="80"/>
      <c r="AC36" s="80"/>
      <c r="AD36" s="80"/>
      <c r="AE36" s="80">
        <v>1</v>
      </c>
      <c r="AF36" s="79" t="str">
        <f>REPLACE(INDEX(GroupVertices[Group],MATCH(Edges[[#This Row],[Vertex 1]],GroupVertices[Vertex],0)),1,1,"")</f>
        <v>12</v>
      </c>
      <c r="AG36" s="79" t="str">
        <f>REPLACE(INDEX(GroupVertices[Group],MATCH(Edges[[#This Row],[Vertex 2]],GroupVertices[Vertex],0)),1,1,"")</f>
        <v>12</v>
      </c>
      <c r="AH36" s="34"/>
      <c r="AI36" s="34"/>
      <c r="AJ36" s="34"/>
      <c r="AK36" s="34"/>
      <c r="AL36" s="34"/>
      <c r="AM36" s="34"/>
      <c r="AN36" s="34"/>
      <c r="AO36" s="34"/>
      <c r="AP36" s="34"/>
    </row>
    <row r="37" spans="1:42" ht="15">
      <c r="A37" s="65" t="s">
        <v>465</v>
      </c>
      <c r="B37" s="65" t="s">
        <v>480</v>
      </c>
      <c r="C37" s="66" t="s">
        <v>1853</v>
      </c>
      <c r="D37" s="67">
        <v>2</v>
      </c>
      <c r="E37" s="68"/>
      <c r="F37" s="69">
        <v>32</v>
      </c>
      <c r="G37" s="66"/>
      <c r="H37" s="70"/>
      <c r="I37" s="71"/>
      <c r="J37" s="71"/>
      <c r="K37" s="34" t="s">
        <v>65</v>
      </c>
      <c r="L37" s="78">
        <v>37</v>
      </c>
      <c r="M37" s="78"/>
      <c r="N37" s="73"/>
      <c r="O37" s="80" t="s">
        <v>211</v>
      </c>
      <c r="P37" s="80" t="s">
        <v>212</v>
      </c>
      <c r="Q37" s="80" t="s">
        <v>645</v>
      </c>
      <c r="R37" s="80" t="s">
        <v>465</v>
      </c>
      <c r="S37" s="80" t="s">
        <v>927</v>
      </c>
      <c r="T37" s="82" t="str">
        <f>HYPERLINK("http://www.youtube.com/channel/UC4Cp2U9nRaj2f60M-Dn1q2w")</f>
        <v>http://www.youtube.com/channel/UC4Cp2U9nRaj2f60M-Dn1q2w</v>
      </c>
      <c r="U37" s="80" t="s">
        <v>1083</v>
      </c>
      <c r="V37" s="80" t="s">
        <v>1200</v>
      </c>
      <c r="W37" s="82" t="str">
        <f>HYPERLINK("https://www.youtube.com/watch?v=oN6mOmEruOQ")</f>
        <v>https://www.youtube.com/watch?v=oN6mOmEruOQ</v>
      </c>
      <c r="X37" s="80" t="s">
        <v>213</v>
      </c>
      <c r="Y37" s="80">
        <v>0</v>
      </c>
      <c r="Z37" s="84">
        <v>43999.435532407406</v>
      </c>
      <c r="AA37" s="84">
        <v>43999.435532407406</v>
      </c>
      <c r="AB37" s="80"/>
      <c r="AC37" s="80"/>
      <c r="AD37" s="80"/>
      <c r="AE37" s="80">
        <v>1</v>
      </c>
      <c r="AF37" s="79" t="str">
        <f>REPLACE(INDEX(GroupVertices[Group],MATCH(Edges[[#This Row],[Vertex 1]],GroupVertices[Vertex],0)),1,1,"")</f>
        <v>12</v>
      </c>
      <c r="AG37" s="79" t="str">
        <f>REPLACE(INDEX(GroupVertices[Group],MATCH(Edges[[#This Row],[Vertex 2]],GroupVertices[Vertex],0)),1,1,"")</f>
        <v>12</v>
      </c>
      <c r="AH37" s="34"/>
      <c r="AI37" s="34"/>
      <c r="AJ37" s="34"/>
      <c r="AK37" s="34"/>
      <c r="AL37" s="34"/>
      <c r="AM37" s="34"/>
      <c r="AN37" s="34"/>
      <c r="AO37" s="34"/>
      <c r="AP37" s="34"/>
    </row>
    <row r="38" spans="1:42" ht="15">
      <c r="A38" s="65" t="s">
        <v>466</v>
      </c>
      <c r="B38" s="65" t="s">
        <v>470</v>
      </c>
      <c r="C38" s="66" t="s">
        <v>1853</v>
      </c>
      <c r="D38" s="67">
        <v>2</v>
      </c>
      <c r="E38" s="68"/>
      <c r="F38" s="69">
        <v>32</v>
      </c>
      <c r="G38" s="66"/>
      <c r="H38" s="70"/>
      <c r="I38" s="71"/>
      <c r="J38" s="71"/>
      <c r="K38" s="34" t="s">
        <v>65</v>
      </c>
      <c r="L38" s="78">
        <v>38</v>
      </c>
      <c r="M38" s="78"/>
      <c r="N38" s="73"/>
      <c r="O38" s="80" t="s">
        <v>211</v>
      </c>
      <c r="P38" s="80" t="s">
        <v>212</v>
      </c>
      <c r="Q38" s="80" t="s">
        <v>646</v>
      </c>
      <c r="R38" s="80" t="s">
        <v>466</v>
      </c>
      <c r="S38" s="80" t="s">
        <v>928</v>
      </c>
      <c r="T38" s="82" t="str">
        <f>HYPERLINK("http://www.youtube.com/channel/UCrbjWUC-Mdeh7_0n7pDurWg")</f>
        <v>http://www.youtube.com/channel/UCrbjWUC-Mdeh7_0n7pDurWg</v>
      </c>
      <c r="U38" s="80" t="s">
        <v>1084</v>
      </c>
      <c r="V38" s="80" t="s">
        <v>1200</v>
      </c>
      <c r="W38" s="82" t="str">
        <f>HYPERLINK("https://www.youtube.com/watch?v=")</f>
        <v>https://www.youtube.com/watch?v=</v>
      </c>
      <c r="X38" s="80" t="s">
        <v>213</v>
      </c>
      <c r="Y38" s="80">
        <v>2</v>
      </c>
      <c r="Z38" s="84">
        <v>43998.829675925925</v>
      </c>
      <c r="AA38" s="84">
        <v>43998.8302662037</v>
      </c>
      <c r="AB38" s="80"/>
      <c r="AC38" s="80"/>
      <c r="AD38" s="80"/>
      <c r="AE38" s="80">
        <v>1</v>
      </c>
      <c r="AF38" s="79" t="str">
        <f>REPLACE(INDEX(GroupVertices[Group],MATCH(Edges[[#This Row],[Vertex 1]],GroupVertices[Vertex],0)),1,1,"")</f>
        <v>11</v>
      </c>
      <c r="AG38" s="79" t="str">
        <f>REPLACE(INDEX(GroupVertices[Group],MATCH(Edges[[#This Row],[Vertex 2]],GroupVertices[Vertex],0)),1,1,"")</f>
        <v>11</v>
      </c>
      <c r="AH38" s="34"/>
      <c r="AI38" s="34"/>
      <c r="AJ38" s="34"/>
      <c r="AK38" s="34"/>
      <c r="AL38" s="34"/>
      <c r="AM38" s="34"/>
      <c r="AN38" s="34"/>
      <c r="AO38" s="34"/>
      <c r="AP38" s="34"/>
    </row>
    <row r="39" spans="1:42" ht="15">
      <c r="A39" s="65" t="s">
        <v>467</v>
      </c>
      <c r="B39" s="65" t="s">
        <v>470</v>
      </c>
      <c r="C39" s="66" t="s">
        <v>1853</v>
      </c>
      <c r="D39" s="67">
        <v>2</v>
      </c>
      <c r="E39" s="68"/>
      <c r="F39" s="69">
        <v>32</v>
      </c>
      <c r="G39" s="66"/>
      <c r="H39" s="70"/>
      <c r="I39" s="71"/>
      <c r="J39" s="71"/>
      <c r="K39" s="34" t="s">
        <v>65</v>
      </c>
      <c r="L39" s="78">
        <v>39</v>
      </c>
      <c r="M39" s="78"/>
      <c r="N39" s="73"/>
      <c r="O39" s="80" t="s">
        <v>211</v>
      </c>
      <c r="P39" s="80" t="s">
        <v>212</v>
      </c>
      <c r="Q39" s="80" t="s">
        <v>647</v>
      </c>
      <c r="R39" s="80" t="s">
        <v>467</v>
      </c>
      <c r="S39" s="80" t="s">
        <v>929</v>
      </c>
      <c r="T39" s="82" t="str">
        <f>HYPERLINK("http://www.youtube.com/channel/UCYd47UFQE9MItXf23YcYV6w")</f>
        <v>http://www.youtube.com/channel/UCYd47UFQE9MItXf23YcYV6w</v>
      </c>
      <c r="U39" s="80" t="s">
        <v>1084</v>
      </c>
      <c r="V39" s="80" t="s">
        <v>1200</v>
      </c>
      <c r="W39" s="82" t="str">
        <f>HYPERLINK("https://www.youtube.com/watch?v=")</f>
        <v>https://www.youtube.com/watch?v=</v>
      </c>
      <c r="X39" s="80" t="s">
        <v>213</v>
      </c>
      <c r="Y39" s="80">
        <v>2</v>
      </c>
      <c r="Z39" s="84">
        <v>43999.23311342593</v>
      </c>
      <c r="AA39" s="84">
        <v>43999.23311342593</v>
      </c>
      <c r="AB39" s="80"/>
      <c r="AC39" s="80"/>
      <c r="AD39" s="80"/>
      <c r="AE39" s="80">
        <v>1</v>
      </c>
      <c r="AF39" s="79" t="str">
        <f>REPLACE(INDEX(GroupVertices[Group],MATCH(Edges[[#This Row],[Vertex 1]],GroupVertices[Vertex],0)),1,1,"")</f>
        <v>11</v>
      </c>
      <c r="AG39" s="79" t="str">
        <f>REPLACE(INDEX(GroupVertices[Group],MATCH(Edges[[#This Row],[Vertex 2]],GroupVertices[Vertex],0)),1,1,"")</f>
        <v>11</v>
      </c>
      <c r="AH39" s="34"/>
      <c r="AI39" s="34"/>
      <c r="AJ39" s="34"/>
      <c r="AK39" s="34"/>
      <c r="AL39" s="34"/>
      <c r="AM39" s="34"/>
      <c r="AN39" s="34"/>
      <c r="AO39" s="34"/>
      <c r="AP39" s="34"/>
    </row>
    <row r="40" spans="1:42" ht="15">
      <c r="A40" s="65" t="s">
        <v>468</v>
      </c>
      <c r="B40" s="65" t="s">
        <v>470</v>
      </c>
      <c r="C40" s="66" t="s">
        <v>1853</v>
      </c>
      <c r="D40" s="67">
        <v>2</v>
      </c>
      <c r="E40" s="68"/>
      <c r="F40" s="69">
        <v>32</v>
      </c>
      <c r="G40" s="66"/>
      <c r="H40" s="70"/>
      <c r="I40" s="71"/>
      <c r="J40" s="71"/>
      <c r="K40" s="34" t="s">
        <v>65</v>
      </c>
      <c r="L40" s="78">
        <v>40</v>
      </c>
      <c r="M40" s="78"/>
      <c r="N40" s="73"/>
      <c r="O40" s="80" t="s">
        <v>211</v>
      </c>
      <c r="P40" s="80" t="s">
        <v>212</v>
      </c>
      <c r="Q40" s="80" t="s">
        <v>648</v>
      </c>
      <c r="R40" s="80" t="s">
        <v>468</v>
      </c>
      <c r="S40" s="80" t="s">
        <v>930</v>
      </c>
      <c r="T40" s="82" t="str">
        <f>HYPERLINK("http://www.youtube.com/channel/UCwtsbXpgdKO6QPdXlYkkPmQ")</f>
        <v>http://www.youtube.com/channel/UCwtsbXpgdKO6QPdXlYkkPmQ</v>
      </c>
      <c r="U40" s="80" t="s">
        <v>1084</v>
      </c>
      <c r="V40" s="80" t="s">
        <v>1200</v>
      </c>
      <c r="W40" s="82" t="str">
        <f>HYPERLINK("https://www.youtube.com/watch?v=")</f>
        <v>https://www.youtube.com/watch?v=</v>
      </c>
      <c r="X40" s="80" t="s">
        <v>213</v>
      </c>
      <c r="Y40" s="80">
        <v>0</v>
      </c>
      <c r="Z40" s="84">
        <v>44002.63978009259</v>
      </c>
      <c r="AA40" s="84">
        <v>44002.63978009259</v>
      </c>
      <c r="AB40" s="80"/>
      <c r="AC40" s="80"/>
      <c r="AD40" s="80"/>
      <c r="AE40" s="80">
        <v>1</v>
      </c>
      <c r="AF40" s="79" t="str">
        <f>REPLACE(INDEX(GroupVertices[Group],MATCH(Edges[[#This Row],[Vertex 1]],GroupVertices[Vertex],0)),1,1,"")</f>
        <v>11</v>
      </c>
      <c r="AG40" s="79" t="str">
        <f>REPLACE(INDEX(GroupVertices[Group],MATCH(Edges[[#This Row],[Vertex 2]],GroupVertices[Vertex],0)),1,1,"")</f>
        <v>11</v>
      </c>
      <c r="AH40" s="34"/>
      <c r="AI40" s="34"/>
      <c r="AJ40" s="34"/>
      <c r="AK40" s="34"/>
      <c r="AL40" s="34"/>
      <c r="AM40" s="34"/>
      <c r="AN40" s="34"/>
      <c r="AO40" s="34"/>
      <c r="AP40" s="34"/>
    </row>
    <row r="41" spans="1:42" ht="15">
      <c r="A41" s="65" t="s">
        <v>469</v>
      </c>
      <c r="B41" s="65" t="s">
        <v>470</v>
      </c>
      <c r="C41" s="66" t="s">
        <v>1833</v>
      </c>
      <c r="D41" s="67">
        <v>2</v>
      </c>
      <c r="E41" s="68"/>
      <c r="F41" s="69">
        <v>32</v>
      </c>
      <c r="G41" s="66"/>
      <c r="H41" s="70"/>
      <c r="I41" s="71"/>
      <c r="J41" s="71"/>
      <c r="K41" s="34" t="s">
        <v>65</v>
      </c>
      <c r="L41" s="78">
        <v>41</v>
      </c>
      <c r="M41" s="78"/>
      <c r="N41" s="73"/>
      <c r="O41" s="80" t="s">
        <v>211</v>
      </c>
      <c r="P41" s="80" t="s">
        <v>212</v>
      </c>
      <c r="Q41" s="80" t="s">
        <v>649</v>
      </c>
      <c r="R41" s="80" t="s">
        <v>469</v>
      </c>
      <c r="S41" s="80" t="s">
        <v>931</v>
      </c>
      <c r="T41" s="82" t="str">
        <f>HYPERLINK("http://www.youtube.com/channel/UC3qA8S5n70Al1RdjujIaWrQ")</f>
        <v>http://www.youtube.com/channel/UC3qA8S5n70Al1RdjujIaWrQ</v>
      </c>
      <c r="U41" s="80" t="s">
        <v>1084</v>
      </c>
      <c r="V41" s="80" t="s">
        <v>1200</v>
      </c>
      <c r="W41" s="82" t="str">
        <f>HYPERLINK("https://www.youtube.com/watch?v=")</f>
        <v>https://www.youtube.com/watch?v=</v>
      </c>
      <c r="X41" s="80" t="s">
        <v>213</v>
      </c>
      <c r="Y41" s="80">
        <v>2</v>
      </c>
      <c r="Z41" s="84">
        <v>43999.52560185185</v>
      </c>
      <c r="AA41" s="84">
        <v>43999.52560185185</v>
      </c>
      <c r="AB41" s="80"/>
      <c r="AC41" s="80"/>
      <c r="AD41" s="80"/>
      <c r="AE41" s="80">
        <v>2</v>
      </c>
      <c r="AF41" s="79" t="str">
        <f>REPLACE(INDEX(GroupVertices[Group],MATCH(Edges[[#This Row],[Vertex 1]],GroupVertices[Vertex],0)),1,1,"")</f>
        <v>11</v>
      </c>
      <c r="AG41" s="79" t="str">
        <f>REPLACE(INDEX(GroupVertices[Group],MATCH(Edges[[#This Row],[Vertex 2]],GroupVertices[Vertex],0)),1,1,"")</f>
        <v>11</v>
      </c>
      <c r="AH41" s="34"/>
      <c r="AI41" s="34"/>
      <c r="AJ41" s="34"/>
      <c r="AK41" s="34"/>
      <c r="AL41" s="34"/>
      <c r="AM41" s="34"/>
      <c r="AN41" s="34"/>
      <c r="AO41" s="34"/>
      <c r="AP41" s="34"/>
    </row>
    <row r="42" spans="1:42" ht="15">
      <c r="A42" s="65" t="s">
        <v>470</v>
      </c>
      <c r="B42" s="65" t="s">
        <v>470</v>
      </c>
      <c r="C42" s="66" t="s">
        <v>1833</v>
      </c>
      <c r="D42" s="67">
        <v>2</v>
      </c>
      <c r="E42" s="68"/>
      <c r="F42" s="69">
        <v>32</v>
      </c>
      <c r="G42" s="66"/>
      <c r="H42" s="70"/>
      <c r="I42" s="71"/>
      <c r="J42" s="71"/>
      <c r="K42" s="34" t="s">
        <v>65</v>
      </c>
      <c r="L42" s="78">
        <v>42</v>
      </c>
      <c r="M42" s="78"/>
      <c r="N42" s="73"/>
      <c r="O42" s="80" t="s">
        <v>211</v>
      </c>
      <c r="P42" s="80" t="s">
        <v>212</v>
      </c>
      <c r="Q42" s="80" t="s">
        <v>650</v>
      </c>
      <c r="R42" s="80" t="s">
        <v>470</v>
      </c>
      <c r="S42" s="80" t="s">
        <v>932</v>
      </c>
      <c r="T42" s="82" t="str">
        <f>HYPERLINK("http://www.youtube.com/channel/UCa42o_SknwSL5LuQ1lnMwcw")</f>
        <v>http://www.youtube.com/channel/UCa42o_SknwSL5LuQ1lnMwcw</v>
      </c>
      <c r="U42" s="80" t="s">
        <v>1084</v>
      </c>
      <c r="V42" s="80" t="s">
        <v>1200</v>
      </c>
      <c r="W42" s="82" t="str">
        <f>HYPERLINK("https://www.youtube.com/watch?v=")</f>
        <v>https://www.youtube.com/watch?v=</v>
      </c>
      <c r="X42" s="80" t="s">
        <v>213</v>
      </c>
      <c r="Y42" s="80">
        <v>1</v>
      </c>
      <c r="Z42" s="84">
        <v>43999.81459490741</v>
      </c>
      <c r="AA42" s="84">
        <v>43999.81459490741</v>
      </c>
      <c r="AB42" s="80"/>
      <c r="AC42" s="80"/>
      <c r="AD42" s="80"/>
      <c r="AE42" s="80">
        <v>3</v>
      </c>
      <c r="AF42" s="79" t="str">
        <f>REPLACE(INDEX(GroupVertices[Group],MATCH(Edges[[#This Row],[Vertex 1]],GroupVertices[Vertex],0)),1,1,"")</f>
        <v>11</v>
      </c>
      <c r="AG42" s="79" t="str">
        <f>REPLACE(INDEX(GroupVertices[Group],MATCH(Edges[[#This Row],[Vertex 2]],GroupVertices[Vertex],0)),1,1,"")</f>
        <v>11</v>
      </c>
      <c r="AH42" s="34"/>
      <c r="AI42" s="34"/>
      <c r="AJ42" s="34"/>
      <c r="AK42" s="34"/>
      <c r="AL42" s="34"/>
      <c r="AM42" s="34"/>
      <c r="AN42" s="34"/>
      <c r="AO42" s="34"/>
      <c r="AP42" s="34"/>
    </row>
    <row r="43" spans="1:42" ht="15">
      <c r="A43" s="65" t="s">
        <v>470</v>
      </c>
      <c r="B43" s="65" t="s">
        <v>470</v>
      </c>
      <c r="C43" s="66" t="s">
        <v>1833</v>
      </c>
      <c r="D43" s="67">
        <v>2</v>
      </c>
      <c r="E43" s="68"/>
      <c r="F43" s="69">
        <v>32</v>
      </c>
      <c r="G43" s="66"/>
      <c r="H43" s="70"/>
      <c r="I43" s="71"/>
      <c r="J43" s="71"/>
      <c r="K43" s="34" t="s">
        <v>65</v>
      </c>
      <c r="L43" s="78">
        <v>43</v>
      </c>
      <c r="M43" s="78"/>
      <c r="N43" s="73"/>
      <c r="O43" s="80" t="s">
        <v>211</v>
      </c>
      <c r="P43" s="80" t="s">
        <v>212</v>
      </c>
      <c r="Q43" s="80" t="s">
        <v>651</v>
      </c>
      <c r="R43" s="80" t="s">
        <v>470</v>
      </c>
      <c r="S43" s="80" t="s">
        <v>932</v>
      </c>
      <c r="T43" s="82" t="str">
        <f>HYPERLINK("http://www.youtube.com/channel/UCa42o_SknwSL5LuQ1lnMwcw")</f>
        <v>http://www.youtube.com/channel/UCa42o_SknwSL5LuQ1lnMwcw</v>
      </c>
      <c r="U43" s="80" t="s">
        <v>1084</v>
      </c>
      <c r="V43" s="80" t="s">
        <v>1200</v>
      </c>
      <c r="W43" s="82" t="str">
        <f>HYPERLINK("https://www.youtube.com/watch?v=")</f>
        <v>https://www.youtube.com/watch?v=</v>
      </c>
      <c r="X43" s="80" t="s">
        <v>213</v>
      </c>
      <c r="Y43" s="80">
        <v>0</v>
      </c>
      <c r="Z43" s="84">
        <v>43999.81501157407</v>
      </c>
      <c r="AA43" s="84">
        <v>43999.81501157407</v>
      </c>
      <c r="AB43" s="80"/>
      <c r="AC43" s="80"/>
      <c r="AD43" s="80"/>
      <c r="AE43" s="80">
        <v>3</v>
      </c>
      <c r="AF43" s="79" t="str">
        <f>REPLACE(INDEX(GroupVertices[Group],MATCH(Edges[[#This Row],[Vertex 1]],GroupVertices[Vertex],0)),1,1,"")</f>
        <v>11</v>
      </c>
      <c r="AG43" s="79" t="str">
        <f>REPLACE(INDEX(GroupVertices[Group],MATCH(Edges[[#This Row],[Vertex 2]],GroupVertices[Vertex],0)),1,1,"")</f>
        <v>11</v>
      </c>
      <c r="AH43" s="34"/>
      <c r="AI43" s="34"/>
      <c r="AJ43" s="34"/>
      <c r="AK43" s="34"/>
      <c r="AL43" s="34"/>
      <c r="AM43" s="34"/>
      <c r="AN43" s="34"/>
      <c r="AO43" s="34"/>
      <c r="AP43" s="34"/>
    </row>
    <row r="44" spans="1:42" ht="15">
      <c r="A44" s="65" t="s">
        <v>469</v>
      </c>
      <c r="B44" s="65" t="s">
        <v>470</v>
      </c>
      <c r="C44" s="66" t="s">
        <v>1833</v>
      </c>
      <c r="D44" s="67">
        <v>2</v>
      </c>
      <c r="E44" s="68"/>
      <c r="F44" s="69">
        <v>32</v>
      </c>
      <c r="G44" s="66"/>
      <c r="H44" s="70"/>
      <c r="I44" s="71"/>
      <c r="J44" s="71"/>
      <c r="K44" s="34" t="s">
        <v>65</v>
      </c>
      <c r="L44" s="78">
        <v>44</v>
      </c>
      <c r="M44" s="78"/>
      <c r="N44" s="73"/>
      <c r="O44" s="80" t="s">
        <v>211</v>
      </c>
      <c r="P44" s="80" t="s">
        <v>212</v>
      </c>
      <c r="Q44" s="80" t="s">
        <v>652</v>
      </c>
      <c r="R44" s="80" t="s">
        <v>469</v>
      </c>
      <c r="S44" s="80" t="s">
        <v>931</v>
      </c>
      <c r="T44" s="82" t="str">
        <f>HYPERLINK("http://www.youtube.com/channel/UC3qA8S5n70Al1RdjujIaWrQ")</f>
        <v>http://www.youtube.com/channel/UC3qA8S5n70Al1RdjujIaWrQ</v>
      </c>
      <c r="U44" s="80" t="s">
        <v>1084</v>
      </c>
      <c r="V44" s="80" t="s">
        <v>1200</v>
      </c>
      <c r="W44" s="82" t="str">
        <f>HYPERLINK("https://www.youtube.com/watch?v=")</f>
        <v>https://www.youtube.com/watch?v=</v>
      </c>
      <c r="X44" s="80" t="s">
        <v>213</v>
      </c>
      <c r="Y44" s="80">
        <v>0</v>
      </c>
      <c r="Z44" s="84">
        <v>43999.85256944445</v>
      </c>
      <c r="AA44" s="84">
        <v>43999.85256944445</v>
      </c>
      <c r="AB44" s="80"/>
      <c r="AC44" s="80"/>
      <c r="AD44" s="80"/>
      <c r="AE44" s="80">
        <v>2</v>
      </c>
      <c r="AF44" s="79" t="str">
        <f>REPLACE(INDEX(GroupVertices[Group],MATCH(Edges[[#This Row],[Vertex 1]],GroupVertices[Vertex],0)),1,1,"")</f>
        <v>11</v>
      </c>
      <c r="AG44" s="79" t="str">
        <f>REPLACE(INDEX(GroupVertices[Group],MATCH(Edges[[#This Row],[Vertex 2]],GroupVertices[Vertex],0)),1,1,"")</f>
        <v>11</v>
      </c>
      <c r="AH44" s="34"/>
      <c r="AI44" s="34"/>
      <c r="AJ44" s="34"/>
      <c r="AK44" s="34"/>
      <c r="AL44" s="34"/>
      <c r="AM44" s="34"/>
      <c r="AN44" s="34"/>
      <c r="AO44" s="34"/>
      <c r="AP44" s="34"/>
    </row>
    <row r="45" spans="1:42" ht="15">
      <c r="A45" s="65" t="s">
        <v>470</v>
      </c>
      <c r="B45" s="65" t="s">
        <v>470</v>
      </c>
      <c r="C45" s="66" t="s">
        <v>1833</v>
      </c>
      <c r="D45" s="67">
        <v>2</v>
      </c>
      <c r="E45" s="68"/>
      <c r="F45" s="69">
        <v>32</v>
      </c>
      <c r="G45" s="66"/>
      <c r="H45" s="70"/>
      <c r="I45" s="71"/>
      <c r="J45" s="71"/>
      <c r="K45" s="34" t="s">
        <v>65</v>
      </c>
      <c r="L45" s="78">
        <v>45</v>
      </c>
      <c r="M45" s="78"/>
      <c r="N45" s="73"/>
      <c r="O45" s="80" t="s">
        <v>211</v>
      </c>
      <c r="P45" s="80" t="s">
        <v>212</v>
      </c>
      <c r="Q45" s="80" t="s">
        <v>653</v>
      </c>
      <c r="R45" s="80" t="s">
        <v>470</v>
      </c>
      <c r="S45" s="80" t="s">
        <v>932</v>
      </c>
      <c r="T45" s="82" t="str">
        <f>HYPERLINK("http://www.youtube.com/channel/UCa42o_SknwSL5LuQ1lnMwcw")</f>
        <v>http://www.youtube.com/channel/UCa42o_SknwSL5LuQ1lnMwcw</v>
      </c>
      <c r="U45" s="80" t="s">
        <v>1084</v>
      </c>
      <c r="V45" s="80" t="s">
        <v>1200</v>
      </c>
      <c r="W45" s="82" t="str">
        <f>HYPERLINK("https://www.youtube.com/watch?v=")</f>
        <v>https://www.youtube.com/watch?v=</v>
      </c>
      <c r="X45" s="80" t="s">
        <v>213</v>
      </c>
      <c r="Y45" s="80">
        <v>0</v>
      </c>
      <c r="Z45" s="84">
        <v>43999.85934027778</v>
      </c>
      <c r="AA45" s="84">
        <v>43999.85934027778</v>
      </c>
      <c r="AB45" s="80"/>
      <c r="AC45" s="80"/>
      <c r="AD45" s="80"/>
      <c r="AE45" s="80">
        <v>3</v>
      </c>
      <c r="AF45" s="79" t="str">
        <f>REPLACE(INDEX(GroupVertices[Group],MATCH(Edges[[#This Row],[Vertex 1]],GroupVertices[Vertex],0)),1,1,"")</f>
        <v>11</v>
      </c>
      <c r="AG45" s="79" t="str">
        <f>REPLACE(INDEX(GroupVertices[Group],MATCH(Edges[[#This Row],[Vertex 2]],GroupVertices[Vertex],0)),1,1,"")</f>
        <v>11</v>
      </c>
      <c r="AH45" s="34"/>
      <c r="AI45" s="34"/>
      <c r="AJ45" s="34"/>
      <c r="AK45" s="34"/>
      <c r="AL45" s="34"/>
      <c r="AM45" s="34"/>
      <c r="AN45" s="34"/>
      <c r="AO45" s="34"/>
      <c r="AP45" s="34"/>
    </row>
    <row r="46" spans="1:42" ht="15">
      <c r="A46" s="65" t="s">
        <v>470</v>
      </c>
      <c r="B46" s="65" t="s">
        <v>461</v>
      </c>
      <c r="C46" s="66" t="s">
        <v>1853</v>
      </c>
      <c r="D46" s="67">
        <v>2</v>
      </c>
      <c r="E46" s="68"/>
      <c r="F46" s="69">
        <v>32</v>
      </c>
      <c r="G46" s="66"/>
      <c r="H46" s="70"/>
      <c r="I46" s="71"/>
      <c r="J46" s="71"/>
      <c r="K46" s="34" t="s">
        <v>65</v>
      </c>
      <c r="L46" s="78">
        <v>46</v>
      </c>
      <c r="M46" s="78"/>
      <c r="N46" s="73"/>
      <c r="O46" s="80" t="s">
        <v>210</v>
      </c>
      <c r="P46" s="80" t="s">
        <v>196</v>
      </c>
      <c r="Q46" s="80" t="s">
        <v>654</v>
      </c>
      <c r="R46" s="80" t="s">
        <v>470</v>
      </c>
      <c r="S46" s="80" t="s">
        <v>932</v>
      </c>
      <c r="T46" s="82" t="str">
        <f>HYPERLINK("http://www.youtube.com/channel/UCa42o_SknwSL5LuQ1lnMwcw")</f>
        <v>http://www.youtube.com/channel/UCa42o_SknwSL5LuQ1lnMwcw</v>
      </c>
      <c r="U46" s="80"/>
      <c r="V46" s="80" t="s">
        <v>1200</v>
      </c>
      <c r="W46" s="82" t="str">
        <f>HYPERLINK("https://www.youtube.com/watch?v=oN6mOmEruOQ")</f>
        <v>https://www.youtube.com/watch?v=oN6mOmEruOQ</v>
      </c>
      <c r="X46" s="80" t="s">
        <v>213</v>
      </c>
      <c r="Y46" s="80">
        <v>19</v>
      </c>
      <c r="Z46" s="84">
        <v>43998.71758101852</v>
      </c>
      <c r="AA46" s="84">
        <v>44000.33943287037</v>
      </c>
      <c r="AB46" s="80"/>
      <c r="AC46" s="80"/>
      <c r="AD46" s="80"/>
      <c r="AE46" s="80">
        <v>1</v>
      </c>
      <c r="AF46" s="79" t="str">
        <f>REPLACE(INDEX(GroupVertices[Group],MATCH(Edges[[#This Row],[Vertex 1]],GroupVertices[Vertex],0)),1,1,"")</f>
        <v>11</v>
      </c>
      <c r="AG46" s="79" t="str">
        <f>REPLACE(INDEX(GroupVertices[Group],MATCH(Edges[[#This Row],[Vertex 2]],GroupVertices[Vertex],0)),1,1,"")</f>
        <v>2</v>
      </c>
      <c r="AH46" s="34"/>
      <c r="AI46" s="34"/>
      <c r="AJ46" s="34"/>
      <c r="AK46" s="34"/>
      <c r="AL46" s="34"/>
      <c r="AM46" s="34"/>
      <c r="AN46" s="34"/>
      <c r="AO46" s="34"/>
      <c r="AP46" s="34"/>
    </row>
    <row r="47" spans="1:42" ht="15">
      <c r="A47" s="65" t="s">
        <v>471</v>
      </c>
      <c r="B47" s="65" t="s">
        <v>472</v>
      </c>
      <c r="C47" s="66" t="s">
        <v>1853</v>
      </c>
      <c r="D47" s="67">
        <v>2</v>
      </c>
      <c r="E47" s="68"/>
      <c r="F47" s="69">
        <v>32</v>
      </c>
      <c r="G47" s="66"/>
      <c r="H47" s="70"/>
      <c r="I47" s="71"/>
      <c r="J47" s="71"/>
      <c r="K47" s="34" t="s">
        <v>65</v>
      </c>
      <c r="L47" s="78">
        <v>47</v>
      </c>
      <c r="M47" s="78"/>
      <c r="N47" s="73"/>
      <c r="O47" s="80" t="s">
        <v>211</v>
      </c>
      <c r="P47" s="80" t="s">
        <v>212</v>
      </c>
      <c r="Q47" s="80" t="s">
        <v>655</v>
      </c>
      <c r="R47" s="80" t="s">
        <v>471</v>
      </c>
      <c r="S47" s="80" t="s">
        <v>933</v>
      </c>
      <c r="T47" s="82" t="str">
        <f>HYPERLINK("http://www.youtube.com/channel/UCyLKEV3oi9IM2azD6meg7mQ")</f>
        <v>http://www.youtube.com/channel/UCyLKEV3oi9IM2azD6meg7mQ</v>
      </c>
      <c r="U47" s="80" t="s">
        <v>1085</v>
      </c>
      <c r="V47" s="80" t="s">
        <v>1200</v>
      </c>
      <c r="W47" s="82" t="str">
        <f>HYPERLINK("https://www.youtube.com/watch?v=oN6mOmEruOQ")</f>
        <v>https://www.youtube.com/watch?v=oN6mOmEruOQ</v>
      </c>
      <c r="X47" s="80" t="s">
        <v>213</v>
      </c>
      <c r="Y47" s="80">
        <v>0</v>
      </c>
      <c r="Z47" s="84">
        <v>43998.933969907404</v>
      </c>
      <c r="AA47" s="84">
        <v>43998.933969907404</v>
      </c>
      <c r="AB47" s="80" t="s">
        <v>1230</v>
      </c>
      <c r="AC47" s="80" t="s">
        <v>1249</v>
      </c>
      <c r="AD47" s="80"/>
      <c r="AE47" s="80">
        <v>1</v>
      </c>
      <c r="AF47" s="79" t="str">
        <f>REPLACE(INDEX(GroupVertices[Group],MATCH(Edges[[#This Row],[Vertex 1]],GroupVertices[Vertex],0)),1,1,"")</f>
        <v>2</v>
      </c>
      <c r="AG47" s="79" t="str">
        <f>REPLACE(INDEX(GroupVertices[Group],MATCH(Edges[[#This Row],[Vertex 2]],GroupVertices[Vertex],0)),1,1,"")</f>
        <v>2</v>
      </c>
      <c r="AH47" s="34"/>
      <c r="AI47" s="34"/>
      <c r="AJ47" s="34"/>
      <c r="AK47" s="34"/>
      <c r="AL47" s="34"/>
      <c r="AM47" s="34"/>
      <c r="AN47" s="34"/>
      <c r="AO47" s="34"/>
      <c r="AP47" s="34"/>
    </row>
    <row r="48" spans="1:42" ht="15">
      <c r="A48" s="65" t="s">
        <v>472</v>
      </c>
      <c r="B48" s="65" t="s">
        <v>461</v>
      </c>
      <c r="C48" s="66" t="s">
        <v>1853</v>
      </c>
      <c r="D48" s="67">
        <v>2</v>
      </c>
      <c r="E48" s="68"/>
      <c r="F48" s="69">
        <v>32</v>
      </c>
      <c r="G48" s="66"/>
      <c r="H48" s="70"/>
      <c r="I48" s="71"/>
      <c r="J48" s="71"/>
      <c r="K48" s="34" t="s">
        <v>65</v>
      </c>
      <c r="L48" s="78">
        <v>48</v>
      </c>
      <c r="M48" s="78"/>
      <c r="N48" s="73"/>
      <c r="O48" s="80" t="s">
        <v>210</v>
      </c>
      <c r="P48" s="80" t="s">
        <v>196</v>
      </c>
      <c r="Q48" s="80" t="s">
        <v>656</v>
      </c>
      <c r="R48" s="80" t="s">
        <v>472</v>
      </c>
      <c r="S48" s="80" t="s">
        <v>934</v>
      </c>
      <c r="T48" s="82" t="str">
        <f>HYPERLINK("http://www.youtube.com/channel/UCs-QZxz2dXIwF1GKFu8mHyA")</f>
        <v>http://www.youtube.com/channel/UCs-QZxz2dXIwF1GKFu8mHyA</v>
      </c>
      <c r="U48" s="80"/>
      <c r="V48" s="80" t="s">
        <v>1200</v>
      </c>
      <c r="W48" s="82" t="str">
        <f>HYPERLINK("https://www.youtube.com/watch?v=oN6mOmEruOQ")</f>
        <v>https://www.youtube.com/watch?v=oN6mOmEruOQ</v>
      </c>
      <c r="X48" s="80" t="s">
        <v>213</v>
      </c>
      <c r="Y48" s="80">
        <v>0</v>
      </c>
      <c r="Z48" s="84">
        <v>43998.72412037037</v>
      </c>
      <c r="AA48" s="84">
        <v>43998.72412037037</v>
      </c>
      <c r="AB48" s="80"/>
      <c r="AC48" s="80"/>
      <c r="AD48" s="80"/>
      <c r="AE48" s="80">
        <v>1</v>
      </c>
      <c r="AF48" s="79" t="str">
        <f>REPLACE(INDEX(GroupVertices[Group],MATCH(Edges[[#This Row],[Vertex 1]],GroupVertices[Vertex],0)),1,1,"")</f>
        <v>2</v>
      </c>
      <c r="AG48" s="79" t="str">
        <f>REPLACE(INDEX(GroupVertices[Group],MATCH(Edges[[#This Row],[Vertex 2]],GroupVertices[Vertex],0)),1,1,"")</f>
        <v>2</v>
      </c>
      <c r="AH48" s="34"/>
      <c r="AI48" s="34"/>
      <c r="AJ48" s="34"/>
      <c r="AK48" s="34"/>
      <c r="AL48" s="34"/>
      <c r="AM48" s="34"/>
      <c r="AN48" s="34"/>
      <c r="AO48" s="34"/>
      <c r="AP48" s="34"/>
    </row>
    <row r="49" spans="1:42" ht="15">
      <c r="A49" s="65" t="s">
        <v>473</v>
      </c>
      <c r="B49" s="65" t="s">
        <v>474</v>
      </c>
      <c r="C49" s="66" t="s">
        <v>1853</v>
      </c>
      <c r="D49" s="67">
        <v>2</v>
      </c>
      <c r="E49" s="68"/>
      <c r="F49" s="69">
        <v>32</v>
      </c>
      <c r="G49" s="66"/>
      <c r="H49" s="70"/>
      <c r="I49" s="71"/>
      <c r="J49" s="71"/>
      <c r="K49" s="34" t="s">
        <v>65</v>
      </c>
      <c r="L49" s="78">
        <v>49</v>
      </c>
      <c r="M49" s="78"/>
      <c r="N49" s="73"/>
      <c r="O49" s="80" t="s">
        <v>211</v>
      </c>
      <c r="P49" s="80" t="s">
        <v>212</v>
      </c>
      <c r="Q49" s="80" t="s">
        <v>657</v>
      </c>
      <c r="R49" s="80" t="s">
        <v>473</v>
      </c>
      <c r="S49" s="80" t="s">
        <v>935</v>
      </c>
      <c r="T49" s="82" t="str">
        <f>HYPERLINK("http://www.youtube.com/channel/UCcg3o79-LIs_2j9gQkfv6rg")</f>
        <v>http://www.youtube.com/channel/UCcg3o79-LIs_2j9gQkfv6rg</v>
      </c>
      <c r="U49" s="80" t="s">
        <v>1086</v>
      </c>
      <c r="V49" s="80" t="s">
        <v>1200</v>
      </c>
      <c r="W49" s="82" t="str">
        <f>HYPERLINK("https://www.youtube.com/watch?v=oN6mOmEruOQ")</f>
        <v>https://www.youtube.com/watch?v=oN6mOmEruOQ</v>
      </c>
      <c r="X49" s="80" t="s">
        <v>213</v>
      </c>
      <c r="Y49" s="80">
        <v>0</v>
      </c>
      <c r="Z49" s="84">
        <v>43999.117314814815</v>
      </c>
      <c r="AA49" s="84">
        <v>43999.117314814815</v>
      </c>
      <c r="AB49" s="80"/>
      <c r="AC49" s="80"/>
      <c r="AD49" s="80"/>
      <c r="AE49" s="80">
        <v>1</v>
      </c>
      <c r="AF49" s="79" t="str">
        <f>REPLACE(INDEX(GroupVertices[Group],MATCH(Edges[[#This Row],[Vertex 1]],GroupVertices[Vertex],0)),1,1,"")</f>
        <v>2</v>
      </c>
      <c r="AG49" s="79" t="str">
        <f>REPLACE(INDEX(GroupVertices[Group],MATCH(Edges[[#This Row],[Vertex 2]],GroupVertices[Vertex],0)),1,1,"")</f>
        <v>2</v>
      </c>
      <c r="AH49" s="34"/>
      <c r="AI49" s="34"/>
      <c r="AJ49" s="34"/>
      <c r="AK49" s="34"/>
      <c r="AL49" s="34"/>
      <c r="AM49" s="34"/>
      <c r="AN49" s="34"/>
      <c r="AO49" s="34"/>
      <c r="AP49" s="34"/>
    </row>
    <row r="50" spans="1:42" ht="15">
      <c r="A50" s="65" t="s">
        <v>474</v>
      </c>
      <c r="B50" s="65" t="s">
        <v>461</v>
      </c>
      <c r="C50" s="66" t="s">
        <v>1853</v>
      </c>
      <c r="D50" s="67">
        <v>2</v>
      </c>
      <c r="E50" s="68"/>
      <c r="F50" s="69">
        <v>32</v>
      </c>
      <c r="G50" s="66"/>
      <c r="H50" s="70"/>
      <c r="I50" s="71"/>
      <c r="J50" s="71"/>
      <c r="K50" s="34" t="s">
        <v>65</v>
      </c>
      <c r="L50" s="78">
        <v>50</v>
      </c>
      <c r="M50" s="78"/>
      <c r="N50" s="73"/>
      <c r="O50" s="80" t="s">
        <v>210</v>
      </c>
      <c r="P50" s="80" t="s">
        <v>196</v>
      </c>
      <c r="Q50" s="80" t="s">
        <v>658</v>
      </c>
      <c r="R50" s="80" t="s">
        <v>474</v>
      </c>
      <c r="S50" s="80" t="s">
        <v>936</v>
      </c>
      <c r="T50" s="82" t="str">
        <f>HYPERLINK("http://www.youtube.com/channel/UCEvuS17b5fKcdU--RU0rCVg")</f>
        <v>http://www.youtube.com/channel/UCEvuS17b5fKcdU--RU0rCVg</v>
      </c>
      <c r="U50" s="80"/>
      <c r="V50" s="80" t="s">
        <v>1200</v>
      </c>
      <c r="W50" s="82" t="str">
        <f>HYPERLINK("https://www.youtube.com/watch?v=oN6mOmEruOQ")</f>
        <v>https://www.youtube.com/watch?v=oN6mOmEruOQ</v>
      </c>
      <c r="X50" s="80" t="s">
        <v>213</v>
      </c>
      <c r="Y50" s="80">
        <v>1</v>
      </c>
      <c r="Z50" s="84">
        <v>43998.72586805555</v>
      </c>
      <c r="AA50" s="84">
        <v>43998.72586805555</v>
      </c>
      <c r="AB50" s="80"/>
      <c r="AC50" s="80"/>
      <c r="AD50" s="80"/>
      <c r="AE50" s="80">
        <v>1</v>
      </c>
      <c r="AF50" s="79" t="str">
        <f>REPLACE(INDEX(GroupVertices[Group],MATCH(Edges[[#This Row],[Vertex 1]],GroupVertices[Vertex],0)),1,1,"")</f>
        <v>2</v>
      </c>
      <c r="AG50" s="79" t="str">
        <f>REPLACE(INDEX(GroupVertices[Group],MATCH(Edges[[#This Row],[Vertex 2]],GroupVertices[Vertex],0)),1,1,"")</f>
        <v>2</v>
      </c>
      <c r="AH50" s="34"/>
      <c r="AI50" s="34"/>
      <c r="AJ50" s="34"/>
      <c r="AK50" s="34"/>
      <c r="AL50" s="34"/>
      <c r="AM50" s="34"/>
      <c r="AN50" s="34"/>
      <c r="AO50" s="34"/>
      <c r="AP50" s="34"/>
    </row>
    <row r="51" spans="1:42" ht="15">
      <c r="A51" s="65" t="s">
        <v>475</v>
      </c>
      <c r="B51" s="65" t="s">
        <v>476</v>
      </c>
      <c r="C51" s="66" t="s">
        <v>1853</v>
      </c>
      <c r="D51" s="67">
        <v>2</v>
      </c>
      <c r="E51" s="68"/>
      <c r="F51" s="69">
        <v>32</v>
      </c>
      <c r="G51" s="66"/>
      <c r="H51" s="70"/>
      <c r="I51" s="71"/>
      <c r="J51" s="71"/>
      <c r="K51" s="34" t="s">
        <v>65</v>
      </c>
      <c r="L51" s="78">
        <v>51</v>
      </c>
      <c r="M51" s="78"/>
      <c r="N51" s="73"/>
      <c r="O51" s="80" t="s">
        <v>211</v>
      </c>
      <c r="P51" s="80" t="s">
        <v>212</v>
      </c>
      <c r="Q51" s="80" t="s">
        <v>659</v>
      </c>
      <c r="R51" s="80" t="s">
        <v>475</v>
      </c>
      <c r="S51" s="80" t="s">
        <v>937</v>
      </c>
      <c r="T51" s="82" t="str">
        <f>HYPERLINK("http://www.youtube.com/channel/UCdjtPZHcM0Kp42_sd9_2JOQ")</f>
        <v>http://www.youtube.com/channel/UCdjtPZHcM0Kp42_sd9_2JOQ</v>
      </c>
      <c r="U51" s="80" t="s">
        <v>1087</v>
      </c>
      <c r="V51" s="80" t="s">
        <v>1200</v>
      </c>
      <c r="W51" s="82" t="str">
        <f>HYPERLINK("https://www.youtube.com/watch?v=oN6mOmEruOQ")</f>
        <v>https://www.youtube.com/watch?v=oN6mOmEruOQ</v>
      </c>
      <c r="X51" s="80" t="s">
        <v>213</v>
      </c>
      <c r="Y51" s="80">
        <v>0</v>
      </c>
      <c r="Z51" s="84">
        <v>43998.751597222225</v>
      </c>
      <c r="AA51" s="84">
        <v>43998.751597222225</v>
      </c>
      <c r="AB51" s="80"/>
      <c r="AC51" s="80"/>
      <c r="AD51" s="80"/>
      <c r="AE51" s="80">
        <v>1</v>
      </c>
      <c r="AF51" s="79" t="str">
        <f>REPLACE(INDEX(GroupVertices[Group],MATCH(Edges[[#This Row],[Vertex 1]],GroupVertices[Vertex],0)),1,1,"")</f>
        <v>2</v>
      </c>
      <c r="AG51" s="79" t="str">
        <f>REPLACE(INDEX(GroupVertices[Group],MATCH(Edges[[#This Row],[Vertex 2]],GroupVertices[Vertex],0)),1,1,"")</f>
        <v>2</v>
      </c>
      <c r="AH51" s="34"/>
      <c r="AI51" s="34"/>
      <c r="AJ51" s="34"/>
      <c r="AK51" s="34"/>
      <c r="AL51" s="34"/>
      <c r="AM51" s="34"/>
      <c r="AN51" s="34"/>
      <c r="AO51" s="34"/>
      <c r="AP51" s="34"/>
    </row>
    <row r="52" spans="1:42" ht="15">
      <c r="A52" s="65" t="s">
        <v>476</v>
      </c>
      <c r="B52" s="65" t="s">
        <v>476</v>
      </c>
      <c r="C52" s="66" t="s">
        <v>1853</v>
      </c>
      <c r="D52" s="67">
        <v>2</v>
      </c>
      <c r="E52" s="68"/>
      <c r="F52" s="69">
        <v>32</v>
      </c>
      <c r="G52" s="66"/>
      <c r="H52" s="70"/>
      <c r="I52" s="71"/>
      <c r="J52" s="71"/>
      <c r="K52" s="34" t="s">
        <v>65</v>
      </c>
      <c r="L52" s="78">
        <v>52</v>
      </c>
      <c r="M52" s="78"/>
      <c r="N52" s="73"/>
      <c r="O52" s="80" t="s">
        <v>211</v>
      </c>
      <c r="P52" s="80" t="s">
        <v>212</v>
      </c>
      <c r="Q52" s="80" t="s">
        <v>660</v>
      </c>
      <c r="R52" s="80" t="s">
        <v>476</v>
      </c>
      <c r="S52" s="80" t="s">
        <v>938</v>
      </c>
      <c r="T52" s="82" t="str">
        <f>HYPERLINK("http://www.youtube.com/channel/UCiRgdeiNpVedoU-Qw7et5Pg")</f>
        <v>http://www.youtube.com/channel/UCiRgdeiNpVedoU-Qw7et5Pg</v>
      </c>
      <c r="U52" s="80" t="s">
        <v>1087</v>
      </c>
      <c r="V52" s="80" t="s">
        <v>1200</v>
      </c>
      <c r="W52" s="82" t="str">
        <f>HYPERLINK("https://www.youtube.com/watch?v=oN6mOmEruOQ")</f>
        <v>https://www.youtube.com/watch?v=oN6mOmEruOQ</v>
      </c>
      <c r="X52" s="80" t="s">
        <v>213</v>
      </c>
      <c r="Y52" s="80">
        <v>0</v>
      </c>
      <c r="Z52" s="84">
        <v>43998.860138888886</v>
      </c>
      <c r="AA52" s="84">
        <v>43998.860138888886</v>
      </c>
      <c r="AB52" s="80"/>
      <c r="AC52" s="80"/>
      <c r="AD52" s="80"/>
      <c r="AE52" s="80">
        <v>1</v>
      </c>
      <c r="AF52" s="79" t="str">
        <f>REPLACE(INDEX(GroupVertices[Group],MATCH(Edges[[#This Row],[Vertex 1]],GroupVertices[Vertex],0)),1,1,"")</f>
        <v>2</v>
      </c>
      <c r="AG52" s="79" t="str">
        <f>REPLACE(INDEX(GroupVertices[Group],MATCH(Edges[[#This Row],[Vertex 2]],GroupVertices[Vertex],0)),1,1,"")</f>
        <v>2</v>
      </c>
      <c r="AH52" s="34"/>
      <c r="AI52" s="34"/>
      <c r="AJ52" s="34"/>
      <c r="AK52" s="34"/>
      <c r="AL52" s="34"/>
      <c r="AM52" s="34"/>
      <c r="AN52" s="34"/>
      <c r="AO52" s="34"/>
      <c r="AP52" s="34"/>
    </row>
    <row r="53" spans="1:42" ht="15">
      <c r="A53" s="65" t="s">
        <v>471</v>
      </c>
      <c r="B53" s="65" t="s">
        <v>476</v>
      </c>
      <c r="C53" s="66" t="s">
        <v>1853</v>
      </c>
      <c r="D53" s="67">
        <v>2</v>
      </c>
      <c r="E53" s="68"/>
      <c r="F53" s="69">
        <v>32</v>
      </c>
      <c r="G53" s="66"/>
      <c r="H53" s="70"/>
      <c r="I53" s="71"/>
      <c r="J53" s="71"/>
      <c r="K53" s="34" t="s">
        <v>65</v>
      </c>
      <c r="L53" s="78">
        <v>53</v>
      </c>
      <c r="M53" s="78"/>
      <c r="N53" s="73"/>
      <c r="O53" s="80" t="s">
        <v>211</v>
      </c>
      <c r="P53" s="80" t="s">
        <v>212</v>
      </c>
      <c r="Q53" s="80" t="s">
        <v>661</v>
      </c>
      <c r="R53" s="80" t="s">
        <v>471</v>
      </c>
      <c r="S53" s="80" t="s">
        <v>933</v>
      </c>
      <c r="T53" s="82" t="str">
        <f>HYPERLINK("http://www.youtube.com/channel/UCyLKEV3oi9IM2azD6meg7mQ")</f>
        <v>http://www.youtube.com/channel/UCyLKEV3oi9IM2azD6meg7mQ</v>
      </c>
      <c r="U53" s="80" t="s">
        <v>1087</v>
      </c>
      <c r="V53" s="80" t="s">
        <v>1200</v>
      </c>
      <c r="W53" s="82" t="str">
        <f>HYPERLINK("https://www.youtube.com/watch?v=oN6mOmEruOQ")</f>
        <v>https://www.youtube.com/watch?v=oN6mOmEruOQ</v>
      </c>
      <c r="X53" s="80" t="s">
        <v>213</v>
      </c>
      <c r="Y53" s="80">
        <v>0</v>
      </c>
      <c r="Z53" s="84">
        <v>43999.17184027778</v>
      </c>
      <c r="AA53" s="84">
        <v>43999.17184027778</v>
      </c>
      <c r="AB53" s="80" t="s">
        <v>1230</v>
      </c>
      <c r="AC53" s="80" t="s">
        <v>1249</v>
      </c>
      <c r="AD53" s="80"/>
      <c r="AE53" s="80">
        <v>1</v>
      </c>
      <c r="AF53" s="79" t="str">
        <f>REPLACE(INDEX(GroupVertices[Group],MATCH(Edges[[#This Row],[Vertex 1]],GroupVertices[Vertex],0)),1,1,"")</f>
        <v>2</v>
      </c>
      <c r="AG53" s="79" t="str">
        <f>REPLACE(INDEX(GroupVertices[Group],MATCH(Edges[[#This Row],[Vertex 2]],GroupVertices[Vertex],0)),1,1,"")</f>
        <v>2</v>
      </c>
      <c r="AH53" s="34"/>
      <c r="AI53" s="34"/>
      <c r="AJ53" s="34"/>
      <c r="AK53" s="34"/>
      <c r="AL53" s="34"/>
      <c r="AM53" s="34"/>
      <c r="AN53" s="34"/>
      <c r="AO53" s="34"/>
      <c r="AP53" s="34"/>
    </row>
    <row r="54" spans="1:42" ht="15">
      <c r="A54" s="65" t="s">
        <v>476</v>
      </c>
      <c r="B54" s="65" t="s">
        <v>461</v>
      </c>
      <c r="C54" s="66" t="s">
        <v>1853</v>
      </c>
      <c r="D54" s="67">
        <v>2</v>
      </c>
      <c r="E54" s="68"/>
      <c r="F54" s="69">
        <v>32</v>
      </c>
      <c r="G54" s="66"/>
      <c r="H54" s="70"/>
      <c r="I54" s="71"/>
      <c r="J54" s="71"/>
      <c r="K54" s="34" t="s">
        <v>65</v>
      </c>
      <c r="L54" s="78">
        <v>54</v>
      </c>
      <c r="M54" s="78"/>
      <c r="N54" s="73"/>
      <c r="O54" s="80" t="s">
        <v>210</v>
      </c>
      <c r="P54" s="80" t="s">
        <v>196</v>
      </c>
      <c r="Q54" s="80" t="s">
        <v>662</v>
      </c>
      <c r="R54" s="80" t="s">
        <v>476</v>
      </c>
      <c r="S54" s="80" t="s">
        <v>938</v>
      </c>
      <c r="T54" s="82" t="str">
        <f>HYPERLINK("http://www.youtube.com/channel/UCiRgdeiNpVedoU-Qw7et5Pg")</f>
        <v>http://www.youtube.com/channel/UCiRgdeiNpVedoU-Qw7et5Pg</v>
      </c>
      <c r="U54" s="80"/>
      <c r="V54" s="80" t="s">
        <v>1200</v>
      </c>
      <c r="W54" s="82" t="str">
        <f>HYPERLINK("https://www.youtube.com/watch?v=oN6mOmEruOQ")</f>
        <v>https://www.youtube.com/watch?v=oN6mOmEruOQ</v>
      </c>
      <c r="X54" s="80" t="s">
        <v>213</v>
      </c>
      <c r="Y54" s="80">
        <v>5</v>
      </c>
      <c r="Z54" s="84">
        <v>43998.73011574074</v>
      </c>
      <c r="AA54" s="84">
        <v>43998.73011574074</v>
      </c>
      <c r="AB54" s="80" t="s">
        <v>1231</v>
      </c>
      <c r="AC54" s="80" t="s">
        <v>214</v>
      </c>
      <c r="AD54" s="80"/>
      <c r="AE54" s="80">
        <v>1</v>
      </c>
      <c r="AF54" s="79" t="str">
        <f>REPLACE(INDEX(GroupVertices[Group],MATCH(Edges[[#This Row],[Vertex 1]],GroupVertices[Vertex],0)),1,1,"")</f>
        <v>2</v>
      </c>
      <c r="AG54" s="79" t="str">
        <f>REPLACE(INDEX(GroupVertices[Group],MATCH(Edges[[#This Row],[Vertex 2]],GroupVertices[Vertex],0)),1,1,"")</f>
        <v>2</v>
      </c>
      <c r="AH54" s="34"/>
      <c r="AI54" s="34"/>
      <c r="AJ54" s="34"/>
      <c r="AK54" s="34"/>
      <c r="AL54" s="34"/>
      <c r="AM54" s="34"/>
      <c r="AN54" s="34"/>
      <c r="AO54" s="34"/>
      <c r="AP54" s="34"/>
    </row>
    <row r="55" spans="1:42" ht="15">
      <c r="A55" s="65" t="s">
        <v>477</v>
      </c>
      <c r="B55" s="65" t="s">
        <v>479</v>
      </c>
      <c r="C55" s="66" t="s">
        <v>1853</v>
      </c>
      <c r="D55" s="67">
        <v>2</v>
      </c>
      <c r="E55" s="68"/>
      <c r="F55" s="69">
        <v>32</v>
      </c>
      <c r="G55" s="66"/>
      <c r="H55" s="70"/>
      <c r="I55" s="71"/>
      <c r="J55" s="71"/>
      <c r="K55" s="34" t="s">
        <v>65</v>
      </c>
      <c r="L55" s="78">
        <v>55</v>
      </c>
      <c r="M55" s="78"/>
      <c r="N55" s="73"/>
      <c r="O55" s="80" t="s">
        <v>211</v>
      </c>
      <c r="P55" s="80" t="s">
        <v>212</v>
      </c>
      <c r="Q55" s="80" t="s">
        <v>663</v>
      </c>
      <c r="R55" s="80" t="s">
        <v>477</v>
      </c>
      <c r="S55" s="80" t="s">
        <v>939</v>
      </c>
      <c r="T55" s="82" t="str">
        <f>HYPERLINK("http://www.youtube.com/channel/UC6Fn4NtfP5xRI28vy9oe6Vg")</f>
        <v>http://www.youtube.com/channel/UC6Fn4NtfP5xRI28vy9oe6Vg</v>
      </c>
      <c r="U55" s="80" t="s">
        <v>1088</v>
      </c>
      <c r="V55" s="80" t="s">
        <v>1200</v>
      </c>
      <c r="W55" s="82" t="str">
        <f>HYPERLINK("https://www.youtube.com/watch?v=oN6mOmEruOQ")</f>
        <v>https://www.youtube.com/watch?v=oN6mOmEruOQ</v>
      </c>
      <c r="X55" s="80" t="s">
        <v>213</v>
      </c>
      <c r="Y55" s="80">
        <v>2</v>
      </c>
      <c r="Z55" s="84">
        <v>43998.829409722224</v>
      </c>
      <c r="AA55" s="84">
        <v>43998.829409722224</v>
      </c>
      <c r="AB55" s="80"/>
      <c r="AC55" s="80"/>
      <c r="AD55" s="80"/>
      <c r="AE55" s="80">
        <v>1</v>
      </c>
      <c r="AF55" s="79" t="str">
        <f>REPLACE(INDEX(GroupVertices[Group],MATCH(Edges[[#This Row],[Vertex 1]],GroupVertices[Vertex],0)),1,1,"")</f>
        <v>22</v>
      </c>
      <c r="AG55" s="79" t="str">
        <f>REPLACE(INDEX(GroupVertices[Group],MATCH(Edges[[#This Row],[Vertex 2]],GroupVertices[Vertex],0)),1,1,"")</f>
        <v>22</v>
      </c>
      <c r="AH55" s="34"/>
      <c r="AI55" s="34"/>
      <c r="AJ55" s="34"/>
      <c r="AK55" s="34"/>
      <c r="AL55" s="34"/>
      <c r="AM55" s="34"/>
      <c r="AN55" s="34"/>
      <c r="AO55" s="34"/>
      <c r="AP55" s="34"/>
    </row>
    <row r="56" spans="1:42" ht="15">
      <c r="A56" s="65" t="s">
        <v>478</v>
      </c>
      <c r="B56" s="65" t="s">
        <v>479</v>
      </c>
      <c r="C56" s="66" t="s">
        <v>1853</v>
      </c>
      <c r="D56" s="67">
        <v>2</v>
      </c>
      <c r="E56" s="68"/>
      <c r="F56" s="69">
        <v>32</v>
      </c>
      <c r="G56" s="66"/>
      <c r="H56" s="70"/>
      <c r="I56" s="71"/>
      <c r="J56" s="71"/>
      <c r="K56" s="34" t="s">
        <v>65</v>
      </c>
      <c r="L56" s="78">
        <v>56</v>
      </c>
      <c r="M56" s="78"/>
      <c r="N56" s="73"/>
      <c r="O56" s="80" t="s">
        <v>211</v>
      </c>
      <c r="P56" s="80" t="s">
        <v>212</v>
      </c>
      <c r="Q56" s="80" t="s">
        <v>664</v>
      </c>
      <c r="R56" s="80" t="s">
        <v>478</v>
      </c>
      <c r="S56" s="80" t="s">
        <v>940</v>
      </c>
      <c r="T56" s="82" t="str">
        <f>HYPERLINK("http://www.youtube.com/channel/UCUa86G1xFqatt_yntIKsJ0A")</f>
        <v>http://www.youtube.com/channel/UCUa86G1xFqatt_yntIKsJ0A</v>
      </c>
      <c r="U56" s="80" t="s">
        <v>1088</v>
      </c>
      <c r="V56" s="80" t="s">
        <v>1200</v>
      </c>
      <c r="W56" s="82" t="str">
        <f>HYPERLINK("https://www.youtube.com/watch?v=oN6mOmEruOQ")</f>
        <v>https://www.youtube.com/watch?v=oN6mOmEruOQ</v>
      </c>
      <c r="X56" s="80" t="s">
        <v>213</v>
      </c>
      <c r="Y56" s="80">
        <v>0</v>
      </c>
      <c r="Z56" s="84">
        <v>44000.65125</v>
      </c>
      <c r="AA56" s="84">
        <v>44000.65125</v>
      </c>
      <c r="AB56" s="80"/>
      <c r="AC56" s="80"/>
      <c r="AD56" s="80"/>
      <c r="AE56" s="80">
        <v>1</v>
      </c>
      <c r="AF56" s="79" t="str">
        <f>REPLACE(INDEX(GroupVertices[Group],MATCH(Edges[[#This Row],[Vertex 1]],GroupVertices[Vertex],0)),1,1,"")</f>
        <v>22</v>
      </c>
      <c r="AG56" s="79" t="str">
        <f>REPLACE(INDEX(GroupVertices[Group],MATCH(Edges[[#This Row],[Vertex 2]],GroupVertices[Vertex],0)),1,1,"")</f>
        <v>22</v>
      </c>
      <c r="AH56" s="34"/>
      <c r="AI56" s="34"/>
      <c r="AJ56" s="34"/>
      <c r="AK56" s="34"/>
      <c r="AL56" s="34"/>
      <c r="AM56" s="34"/>
      <c r="AN56" s="34"/>
      <c r="AO56" s="34"/>
      <c r="AP56" s="34"/>
    </row>
    <row r="57" spans="1:42" ht="15">
      <c r="A57" s="65" t="s">
        <v>479</v>
      </c>
      <c r="B57" s="65" t="s">
        <v>461</v>
      </c>
      <c r="C57" s="66" t="s">
        <v>1853</v>
      </c>
      <c r="D57" s="67">
        <v>2</v>
      </c>
      <c r="E57" s="68"/>
      <c r="F57" s="69">
        <v>32</v>
      </c>
      <c r="G57" s="66"/>
      <c r="H57" s="70"/>
      <c r="I57" s="71"/>
      <c r="J57" s="71"/>
      <c r="K57" s="34" t="s">
        <v>65</v>
      </c>
      <c r="L57" s="78">
        <v>57</v>
      </c>
      <c r="M57" s="78"/>
      <c r="N57" s="73"/>
      <c r="O57" s="80" t="s">
        <v>210</v>
      </c>
      <c r="P57" s="80" t="s">
        <v>196</v>
      </c>
      <c r="Q57" s="80" t="s">
        <v>665</v>
      </c>
      <c r="R57" s="80" t="s">
        <v>479</v>
      </c>
      <c r="S57" s="80" t="s">
        <v>941</v>
      </c>
      <c r="T57" s="82" t="str">
        <f>HYPERLINK("http://www.youtube.com/channel/UCJQvl3mfUj5ww9gaHvpcD4g")</f>
        <v>http://www.youtube.com/channel/UCJQvl3mfUj5ww9gaHvpcD4g</v>
      </c>
      <c r="U57" s="80"/>
      <c r="V57" s="80" t="s">
        <v>1200</v>
      </c>
      <c r="W57" s="82" t="str">
        <f>HYPERLINK("https://www.youtube.com/watch?v=oN6mOmEruOQ")</f>
        <v>https://www.youtube.com/watch?v=oN6mOmEruOQ</v>
      </c>
      <c r="X57" s="80" t="s">
        <v>213</v>
      </c>
      <c r="Y57" s="80">
        <v>4</v>
      </c>
      <c r="Z57" s="84">
        <v>43998.735925925925</v>
      </c>
      <c r="AA57" s="84">
        <v>43998.735925925925</v>
      </c>
      <c r="AB57" s="80"/>
      <c r="AC57" s="80"/>
      <c r="AD57" s="80"/>
      <c r="AE57" s="80">
        <v>1</v>
      </c>
      <c r="AF57" s="79" t="str">
        <f>REPLACE(INDEX(GroupVertices[Group],MATCH(Edges[[#This Row],[Vertex 1]],GroupVertices[Vertex],0)),1,1,"")</f>
        <v>22</v>
      </c>
      <c r="AG57" s="79" t="str">
        <f>REPLACE(INDEX(GroupVertices[Group],MATCH(Edges[[#This Row],[Vertex 2]],GroupVertices[Vertex],0)),1,1,"")</f>
        <v>2</v>
      </c>
      <c r="AH57" s="34"/>
      <c r="AI57" s="34"/>
      <c r="AJ57" s="34"/>
      <c r="AK57" s="34"/>
      <c r="AL57" s="34"/>
      <c r="AM57" s="34"/>
      <c r="AN57" s="34"/>
      <c r="AO57" s="34"/>
      <c r="AP57" s="34"/>
    </row>
    <row r="58" spans="1:42" ht="15">
      <c r="A58" s="65" t="s">
        <v>480</v>
      </c>
      <c r="B58" s="65" t="s">
        <v>461</v>
      </c>
      <c r="C58" s="66" t="s">
        <v>1853</v>
      </c>
      <c r="D58" s="67">
        <v>2</v>
      </c>
      <c r="E58" s="68"/>
      <c r="F58" s="69">
        <v>32</v>
      </c>
      <c r="G58" s="66"/>
      <c r="H58" s="70"/>
      <c r="I58" s="71"/>
      <c r="J58" s="71"/>
      <c r="K58" s="34" t="s">
        <v>65</v>
      </c>
      <c r="L58" s="78">
        <v>58</v>
      </c>
      <c r="M58" s="78"/>
      <c r="N58" s="73"/>
      <c r="O58" s="80" t="s">
        <v>210</v>
      </c>
      <c r="P58" s="80" t="s">
        <v>196</v>
      </c>
      <c r="Q58" s="80" t="s">
        <v>666</v>
      </c>
      <c r="R58" s="80" t="s">
        <v>480</v>
      </c>
      <c r="S58" s="80" t="s">
        <v>942</v>
      </c>
      <c r="T58" s="82" t="str">
        <f>HYPERLINK("http://www.youtube.com/channel/UCHHneJvHkxIctOJ6Ok-umxA")</f>
        <v>http://www.youtube.com/channel/UCHHneJvHkxIctOJ6Ok-umxA</v>
      </c>
      <c r="U58" s="80"/>
      <c r="V58" s="80" t="s">
        <v>1200</v>
      </c>
      <c r="W58" s="82" t="str">
        <f>HYPERLINK("https://www.youtube.com/watch?v=oN6mOmEruOQ")</f>
        <v>https://www.youtube.com/watch?v=oN6mOmEruOQ</v>
      </c>
      <c r="X58" s="80" t="s">
        <v>213</v>
      </c>
      <c r="Y58" s="80">
        <v>3</v>
      </c>
      <c r="Z58" s="84">
        <v>43998.717361111114</v>
      </c>
      <c r="AA58" s="84">
        <v>43998.717361111114</v>
      </c>
      <c r="AB58" s="80" t="s">
        <v>1232</v>
      </c>
      <c r="AC58" s="80" t="s">
        <v>1250</v>
      </c>
      <c r="AD58" s="80"/>
      <c r="AE58" s="80">
        <v>1</v>
      </c>
      <c r="AF58" s="79" t="str">
        <f>REPLACE(INDEX(GroupVertices[Group],MATCH(Edges[[#This Row],[Vertex 1]],GroupVertices[Vertex],0)),1,1,"")</f>
        <v>12</v>
      </c>
      <c r="AG58" s="79" t="str">
        <f>REPLACE(INDEX(GroupVertices[Group],MATCH(Edges[[#This Row],[Vertex 2]],GroupVertices[Vertex],0)),1,1,"")</f>
        <v>2</v>
      </c>
      <c r="AH58" s="34"/>
      <c r="AI58" s="34"/>
      <c r="AJ58" s="34"/>
      <c r="AK58" s="34"/>
      <c r="AL58" s="34"/>
      <c r="AM58" s="34"/>
      <c r="AN58" s="34"/>
      <c r="AO58" s="34"/>
      <c r="AP58" s="34"/>
    </row>
    <row r="59" spans="1:42" ht="15">
      <c r="A59" s="65" t="s">
        <v>480</v>
      </c>
      <c r="B59" s="65" t="s">
        <v>482</v>
      </c>
      <c r="C59" s="66" t="s">
        <v>1853</v>
      </c>
      <c r="D59" s="67">
        <v>2</v>
      </c>
      <c r="E59" s="68"/>
      <c r="F59" s="69">
        <v>32</v>
      </c>
      <c r="G59" s="66"/>
      <c r="H59" s="70"/>
      <c r="I59" s="71"/>
      <c r="J59" s="71"/>
      <c r="K59" s="34" t="s">
        <v>65</v>
      </c>
      <c r="L59" s="78">
        <v>59</v>
      </c>
      <c r="M59" s="78"/>
      <c r="N59" s="73"/>
      <c r="O59" s="80" t="s">
        <v>211</v>
      </c>
      <c r="P59" s="80" t="s">
        <v>212</v>
      </c>
      <c r="Q59" s="80" t="s">
        <v>667</v>
      </c>
      <c r="R59" s="80" t="s">
        <v>480</v>
      </c>
      <c r="S59" s="80" t="s">
        <v>942</v>
      </c>
      <c r="T59" s="82" t="str">
        <f>HYPERLINK("http://www.youtube.com/channel/UCHHneJvHkxIctOJ6Ok-umxA")</f>
        <v>http://www.youtube.com/channel/UCHHneJvHkxIctOJ6Ok-umxA</v>
      </c>
      <c r="U59" s="80" t="s">
        <v>1089</v>
      </c>
      <c r="V59" s="80" t="s">
        <v>1200</v>
      </c>
      <c r="W59" s="82" t="str">
        <f>HYPERLINK("https://www.youtube.com/watch?v=oN6mOmEruOQ")</f>
        <v>https://www.youtube.com/watch?v=oN6mOmEruOQ</v>
      </c>
      <c r="X59" s="80" t="s">
        <v>213</v>
      </c>
      <c r="Y59" s="80">
        <v>0</v>
      </c>
      <c r="Z59" s="84">
        <v>43998.81104166667</v>
      </c>
      <c r="AA59" s="84">
        <v>43998.81104166667</v>
      </c>
      <c r="AB59" s="80"/>
      <c r="AC59" s="80"/>
      <c r="AD59" s="80"/>
      <c r="AE59" s="80">
        <v>1</v>
      </c>
      <c r="AF59" s="79" t="str">
        <f>REPLACE(INDEX(GroupVertices[Group],MATCH(Edges[[#This Row],[Vertex 1]],GroupVertices[Vertex],0)),1,1,"")</f>
        <v>12</v>
      </c>
      <c r="AG59" s="79" t="str">
        <f>REPLACE(INDEX(GroupVertices[Group],MATCH(Edges[[#This Row],[Vertex 2]],GroupVertices[Vertex],0)),1,1,"")</f>
        <v>12</v>
      </c>
      <c r="AH59" s="34"/>
      <c r="AI59" s="34"/>
      <c r="AJ59" s="34"/>
      <c r="AK59" s="34"/>
      <c r="AL59" s="34"/>
      <c r="AM59" s="34"/>
      <c r="AN59" s="34"/>
      <c r="AO59" s="34"/>
      <c r="AP59" s="34"/>
    </row>
    <row r="60" spans="1:42" ht="15">
      <c r="A60" s="65" t="s">
        <v>481</v>
      </c>
      <c r="B60" s="65" t="s">
        <v>482</v>
      </c>
      <c r="C60" s="66" t="s">
        <v>1833</v>
      </c>
      <c r="D60" s="67">
        <v>2</v>
      </c>
      <c r="E60" s="68"/>
      <c r="F60" s="69">
        <v>32</v>
      </c>
      <c r="G60" s="66"/>
      <c r="H60" s="70"/>
      <c r="I60" s="71"/>
      <c r="J60" s="71"/>
      <c r="K60" s="34" t="s">
        <v>65</v>
      </c>
      <c r="L60" s="78">
        <v>60</v>
      </c>
      <c r="M60" s="78"/>
      <c r="N60" s="73"/>
      <c r="O60" s="80" t="s">
        <v>211</v>
      </c>
      <c r="P60" s="80" t="s">
        <v>212</v>
      </c>
      <c r="Q60" s="80" t="s">
        <v>668</v>
      </c>
      <c r="R60" s="80" t="s">
        <v>481</v>
      </c>
      <c r="S60" s="80" t="s">
        <v>943</v>
      </c>
      <c r="T60" s="82" t="str">
        <f>HYPERLINK("http://www.youtube.com/channel/UCS6uE8pxsb-UkLbn990_WiA")</f>
        <v>http://www.youtube.com/channel/UCS6uE8pxsb-UkLbn990_WiA</v>
      </c>
      <c r="U60" s="80" t="s">
        <v>1089</v>
      </c>
      <c r="V60" s="80" t="s">
        <v>1200</v>
      </c>
      <c r="W60" s="82" t="str">
        <f>HYPERLINK("https://www.youtube.com/watch?v=oN6mOmEruOQ")</f>
        <v>https://www.youtube.com/watch?v=oN6mOmEruOQ</v>
      </c>
      <c r="X60" s="80" t="s">
        <v>213</v>
      </c>
      <c r="Y60" s="80">
        <v>0</v>
      </c>
      <c r="Z60" s="84">
        <v>43998.79280092593</v>
      </c>
      <c r="AA60" s="84">
        <v>43998.79280092593</v>
      </c>
      <c r="AB60" s="80"/>
      <c r="AC60" s="80"/>
      <c r="AD60" s="80"/>
      <c r="AE60" s="80">
        <v>2</v>
      </c>
      <c r="AF60" s="79" t="str">
        <f>REPLACE(INDEX(GroupVertices[Group],MATCH(Edges[[#This Row],[Vertex 1]],GroupVertices[Vertex],0)),1,1,"")</f>
        <v>12</v>
      </c>
      <c r="AG60" s="79" t="str">
        <f>REPLACE(INDEX(GroupVertices[Group],MATCH(Edges[[#This Row],[Vertex 2]],GroupVertices[Vertex],0)),1,1,"")</f>
        <v>12</v>
      </c>
      <c r="AH60" s="34"/>
      <c r="AI60" s="34"/>
      <c r="AJ60" s="34"/>
      <c r="AK60" s="34"/>
      <c r="AL60" s="34"/>
      <c r="AM60" s="34"/>
      <c r="AN60" s="34"/>
      <c r="AO60" s="34"/>
      <c r="AP60" s="34"/>
    </row>
    <row r="61" spans="1:42" ht="15">
      <c r="A61" s="65" t="s">
        <v>481</v>
      </c>
      <c r="B61" s="65" t="s">
        <v>482</v>
      </c>
      <c r="C61" s="66" t="s">
        <v>1833</v>
      </c>
      <c r="D61" s="67">
        <v>2</v>
      </c>
      <c r="E61" s="68"/>
      <c r="F61" s="69">
        <v>32</v>
      </c>
      <c r="G61" s="66"/>
      <c r="H61" s="70"/>
      <c r="I61" s="71"/>
      <c r="J61" s="71"/>
      <c r="K61" s="34" t="s">
        <v>65</v>
      </c>
      <c r="L61" s="78">
        <v>61</v>
      </c>
      <c r="M61" s="78"/>
      <c r="N61" s="73"/>
      <c r="O61" s="80" t="s">
        <v>211</v>
      </c>
      <c r="P61" s="80" t="s">
        <v>212</v>
      </c>
      <c r="Q61" s="80" t="s">
        <v>669</v>
      </c>
      <c r="R61" s="80" t="s">
        <v>481</v>
      </c>
      <c r="S61" s="80" t="s">
        <v>943</v>
      </c>
      <c r="T61" s="82" t="str">
        <f>HYPERLINK("http://www.youtube.com/channel/UCS6uE8pxsb-UkLbn990_WiA")</f>
        <v>http://www.youtube.com/channel/UCS6uE8pxsb-UkLbn990_WiA</v>
      </c>
      <c r="U61" s="80" t="s">
        <v>1089</v>
      </c>
      <c r="V61" s="80" t="s">
        <v>1200</v>
      </c>
      <c r="W61" s="82" t="str">
        <f>HYPERLINK("https://www.youtube.com/watch?v=oN6mOmEruOQ")</f>
        <v>https://www.youtube.com/watch?v=oN6mOmEruOQ</v>
      </c>
      <c r="X61" s="80" t="s">
        <v>213</v>
      </c>
      <c r="Y61" s="80">
        <v>0</v>
      </c>
      <c r="Z61" s="84">
        <v>43999.9378125</v>
      </c>
      <c r="AA61" s="84">
        <v>43999.9378125</v>
      </c>
      <c r="AB61" s="80"/>
      <c r="AC61" s="80"/>
      <c r="AD61" s="80"/>
      <c r="AE61" s="80">
        <v>2</v>
      </c>
      <c r="AF61" s="79" t="str">
        <f>REPLACE(INDEX(GroupVertices[Group],MATCH(Edges[[#This Row],[Vertex 1]],GroupVertices[Vertex],0)),1,1,"")</f>
        <v>12</v>
      </c>
      <c r="AG61" s="79" t="str">
        <f>REPLACE(INDEX(GroupVertices[Group],MATCH(Edges[[#This Row],[Vertex 2]],GroupVertices[Vertex],0)),1,1,"")</f>
        <v>12</v>
      </c>
      <c r="AH61" s="34"/>
      <c r="AI61" s="34"/>
      <c r="AJ61" s="34"/>
      <c r="AK61" s="34"/>
      <c r="AL61" s="34"/>
      <c r="AM61" s="34"/>
      <c r="AN61" s="34"/>
      <c r="AO61" s="34"/>
      <c r="AP61" s="34"/>
    </row>
    <row r="62" spans="1:42" ht="15">
      <c r="A62" s="65" t="s">
        <v>482</v>
      </c>
      <c r="B62" s="65" t="s">
        <v>482</v>
      </c>
      <c r="C62" s="66" t="s">
        <v>1853</v>
      </c>
      <c r="D62" s="67">
        <v>2</v>
      </c>
      <c r="E62" s="68"/>
      <c r="F62" s="69">
        <v>32</v>
      </c>
      <c r="G62" s="66"/>
      <c r="H62" s="70"/>
      <c r="I62" s="71"/>
      <c r="J62" s="71"/>
      <c r="K62" s="34" t="s">
        <v>65</v>
      </c>
      <c r="L62" s="78">
        <v>62</v>
      </c>
      <c r="M62" s="78"/>
      <c r="N62" s="73"/>
      <c r="O62" s="80" t="s">
        <v>211</v>
      </c>
      <c r="P62" s="80" t="s">
        <v>212</v>
      </c>
      <c r="Q62" s="80" t="s">
        <v>670</v>
      </c>
      <c r="R62" s="80" t="s">
        <v>482</v>
      </c>
      <c r="S62" s="80" t="s">
        <v>944</v>
      </c>
      <c r="T62" s="82" t="str">
        <f>HYPERLINK("http://www.youtube.com/channel/UCFE38u5CpsNQzDpJIk4bsiw")</f>
        <v>http://www.youtube.com/channel/UCFE38u5CpsNQzDpJIk4bsiw</v>
      </c>
      <c r="U62" s="80" t="s">
        <v>1089</v>
      </c>
      <c r="V62" s="80" t="s">
        <v>1200</v>
      </c>
      <c r="W62" s="82" t="str">
        <f>HYPERLINK("https://www.youtube.com/watch?v=oN6mOmEruOQ")</f>
        <v>https://www.youtube.com/watch?v=oN6mOmEruOQ</v>
      </c>
      <c r="X62" s="80" t="s">
        <v>213</v>
      </c>
      <c r="Y62" s="80">
        <v>0</v>
      </c>
      <c r="Z62" s="84">
        <v>43998.76981481481</v>
      </c>
      <c r="AA62" s="84">
        <v>43998.76981481481</v>
      </c>
      <c r="AB62" s="80"/>
      <c r="AC62" s="80"/>
      <c r="AD62" s="80"/>
      <c r="AE62" s="80">
        <v>1</v>
      </c>
      <c r="AF62" s="79" t="str">
        <f>REPLACE(INDEX(GroupVertices[Group],MATCH(Edges[[#This Row],[Vertex 1]],GroupVertices[Vertex],0)),1,1,"")</f>
        <v>12</v>
      </c>
      <c r="AG62" s="79" t="str">
        <f>REPLACE(INDEX(GroupVertices[Group],MATCH(Edges[[#This Row],[Vertex 2]],GroupVertices[Vertex],0)),1,1,"")</f>
        <v>12</v>
      </c>
      <c r="AH62" s="34"/>
      <c r="AI62" s="34"/>
      <c r="AJ62" s="34"/>
      <c r="AK62" s="34"/>
      <c r="AL62" s="34"/>
      <c r="AM62" s="34"/>
      <c r="AN62" s="34"/>
      <c r="AO62" s="34"/>
      <c r="AP62" s="34"/>
    </row>
    <row r="63" spans="1:42" ht="15">
      <c r="A63" s="65" t="s">
        <v>482</v>
      </c>
      <c r="B63" s="65" t="s">
        <v>461</v>
      </c>
      <c r="C63" s="66" t="s">
        <v>1853</v>
      </c>
      <c r="D63" s="67">
        <v>2</v>
      </c>
      <c r="E63" s="68"/>
      <c r="F63" s="69">
        <v>32</v>
      </c>
      <c r="G63" s="66"/>
      <c r="H63" s="70"/>
      <c r="I63" s="71"/>
      <c r="J63" s="71"/>
      <c r="K63" s="34" t="s">
        <v>65</v>
      </c>
      <c r="L63" s="78">
        <v>63</v>
      </c>
      <c r="M63" s="78"/>
      <c r="N63" s="73"/>
      <c r="O63" s="80" t="s">
        <v>210</v>
      </c>
      <c r="P63" s="80" t="s">
        <v>196</v>
      </c>
      <c r="Q63" s="80" t="s">
        <v>671</v>
      </c>
      <c r="R63" s="80" t="s">
        <v>482</v>
      </c>
      <c r="S63" s="80" t="s">
        <v>944</v>
      </c>
      <c r="T63" s="82" t="str">
        <f>HYPERLINK("http://www.youtube.com/channel/UCFE38u5CpsNQzDpJIk4bsiw")</f>
        <v>http://www.youtube.com/channel/UCFE38u5CpsNQzDpJIk4bsiw</v>
      </c>
      <c r="U63" s="80"/>
      <c r="V63" s="80" t="s">
        <v>1200</v>
      </c>
      <c r="W63" s="82" t="str">
        <f>HYPERLINK("https://www.youtube.com/watch?v=oN6mOmEruOQ")</f>
        <v>https://www.youtube.com/watch?v=oN6mOmEruOQ</v>
      </c>
      <c r="X63" s="80" t="s">
        <v>213</v>
      </c>
      <c r="Y63" s="80">
        <v>0</v>
      </c>
      <c r="Z63" s="84">
        <v>43998.744050925925</v>
      </c>
      <c r="AA63" s="84">
        <v>43998.744050925925</v>
      </c>
      <c r="AB63" s="80" t="s">
        <v>1233</v>
      </c>
      <c r="AC63" s="80" t="s">
        <v>1251</v>
      </c>
      <c r="AD63" s="80"/>
      <c r="AE63" s="80">
        <v>1</v>
      </c>
      <c r="AF63" s="79" t="str">
        <f>REPLACE(INDEX(GroupVertices[Group],MATCH(Edges[[#This Row],[Vertex 1]],GroupVertices[Vertex],0)),1,1,"")</f>
        <v>12</v>
      </c>
      <c r="AG63" s="79" t="str">
        <f>REPLACE(INDEX(GroupVertices[Group],MATCH(Edges[[#This Row],[Vertex 2]],GroupVertices[Vertex],0)),1,1,"")</f>
        <v>2</v>
      </c>
      <c r="AH63" s="34"/>
      <c r="AI63" s="34"/>
      <c r="AJ63" s="34"/>
      <c r="AK63" s="34"/>
      <c r="AL63" s="34"/>
      <c r="AM63" s="34"/>
      <c r="AN63" s="34"/>
      <c r="AO63" s="34"/>
      <c r="AP63" s="34"/>
    </row>
    <row r="64" spans="1:42" ht="15">
      <c r="A64" s="65" t="s">
        <v>483</v>
      </c>
      <c r="B64" s="65" t="s">
        <v>484</v>
      </c>
      <c r="C64" s="66" t="s">
        <v>1853</v>
      </c>
      <c r="D64" s="67">
        <v>2</v>
      </c>
      <c r="E64" s="68"/>
      <c r="F64" s="69">
        <v>32</v>
      </c>
      <c r="G64" s="66"/>
      <c r="H64" s="70"/>
      <c r="I64" s="71"/>
      <c r="J64" s="71"/>
      <c r="K64" s="34" t="s">
        <v>65</v>
      </c>
      <c r="L64" s="78">
        <v>64</v>
      </c>
      <c r="M64" s="78"/>
      <c r="N64" s="73"/>
      <c r="O64" s="80" t="s">
        <v>211</v>
      </c>
      <c r="P64" s="80" t="s">
        <v>212</v>
      </c>
      <c r="Q64" s="80" t="s">
        <v>672</v>
      </c>
      <c r="R64" s="80" t="s">
        <v>483</v>
      </c>
      <c r="S64" s="80" t="s">
        <v>945</v>
      </c>
      <c r="T64" s="82" t="str">
        <f>HYPERLINK("http://www.youtube.com/channel/UCigHiy9Y3NCgFcAfCBI5dzQ")</f>
        <v>http://www.youtube.com/channel/UCigHiy9Y3NCgFcAfCBI5dzQ</v>
      </c>
      <c r="U64" s="80" t="s">
        <v>1090</v>
      </c>
      <c r="V64" s="80" t="s">
        <v>1200</v>
      </c>
      <c r="W64" s="82" t="str">
        <f>HYPERLINK("https://www.youtube.com/watch?v=oN6mOmEruOQ")</f>
        <v>https://www.youtube.com/watch?v=oN6mOmEruOQ</v>
      </c>
      <c r="X64" s="80" t="s">
        <v>213</v>
      </c>
      <c r="Y64" s="80">
        <v>0</v>
      </c>
      <c r="Z64" s="84">
        <v>43998.78518518519</v>
      </c>
      <c r="AA64" s="84">
        <v>43998.78518518519</v>
      </c>
      <c r="AB64" s="80"/>
      <c r="AC64" s="80"/>
      <c r="AD64" s="80"/>
      <c r="AE64" s="80">
        <v>1</v>
      </c>
      <c r="AF64" s="79" t="str">
        <f>REPLACE(INDEX(GroupVertices[Group],MATCH(Edges[[#This Row],[Vertex 1]],GroupVertices[Vertex],0)),1,1,"")</f>
        <v>2</v>
      </c>
      <c r="AG64" s="79" t="str">
        <f>REPLACE(INDEX(GroupVertices[Group],MATCH(Edges[[#This Row],[Vertex 2]],GroupVertices[Vertex],0)),1,1,"")</f>
        <v>2</v>
      </c>
      <c r="AH64" s="34"/>
      <c r="AI64" s="34"/>
      <c r="AJ64" s="34"/>
      <c r="AK64" s="34"/>
      <c r="AL64" s="34"/>
      <c r="AM64" s="34"/>
      <c r="AN64" s="34"/>
      <c r="AO64" s="34"/>
      <c r="AP64" s="34"/>
    </row>
    <row r="65" spans="1:42" ht="15">
      <c r="A65" s="65" t="s">
        <v>484</v>
      </c>
      <c r="B65" s="65" t="s">
        <v>461</v>
      </c>
      <c r="C65" s="66" t="s">
        <v>1853</v>
      </c>
      <c r="D65" s="67">
        <v>2</v>
      </c>
      <c r="E65" s="68"/>
      <c r="F65" s="69">
        <v>32</v>
      </c>
      <c r="G65" s="66"/>
      <c r="H65" s="70"/>
      <c r="I65" s="71"/>
      <c r="J65" s="71"/>
      <c r="K65" s="34" t="s">
        <v>65</v>
      </c>
      <c r="L65" s="78">
        <v>65</v>
      </c>
      <c r="M65" s="78"/>
      <c r="N65" s="73"/>
      <c r="O65" s="80" t="s">
        <v>210</v>
      </c>
      <c r="P65" s="80" t="s">
        <v>196</v>
      </c>
      <c r="Q65" s="80" t="s">
        <v>673</v>
      </c>
      <c r="R65" s="80" t="s">
        <v>484</v>
      </c>
      <c r="S65" s="80" t="s">
        <v>946</v>
      </c>
      <c r="T65" s="82" t="str">
        <f>HYPERLINK("http://www.youtube.com/channel/UC_9gy3T5xc8eQi-PIWrZuEw")</f>
        <v>http://www.youtube.com/channel/UC_9gy3T5xc8eQi-PIWrZuEw</v>
      </c>
      <c r="U65" s="80"/>
      <c r="V65" s="80" t="s">
        <v>1200</v>
      </c>
      <c r="W65" s="82" t="str">
        <f>HYPERLINK("https://www.youtube.com/watch?v=oN6mOmEruOQ")</f>
        <v>https://www.youtube.com/watch?v=oN6mOmEruOQ</v>
      </c>
      <c r="X65" s="80" t="s">
        <v>213</v>
      </c>
      <c r="Y65" s="80">
        <v>0</v>
      </c>
      <c r="Z65" s="84">
        <v>43998.76435185185</v>
      </c>
      <c r="AA65" s="84">
        <v>43998.76435185185</v>
      </c>
      <c r="AB65" s="80"/>
      <c r="AC65" s="80"/>
      <c r="AD65" s="80"/>
      <c r="AE65" s="80">
        <v>1</v>
      </c>
      <c r="AF65" s="79" t="str">
        <f>REPLACE(INDEX(GroupVertices[Group],MATCH(Edges[[#This Row],[Vertex 1]],GroupVertices[Vertex],0)),1,1,"")</f>
        <v>2</v>
      </c>
      <c r="AG65" s="79" t="str">
        <f>REPLACE(INDEX(GroupVertices[Group],MATCH(Edges[[#This Row],[Vertex 2]],GroupVertices[Vertex],0)),1,1,"")</f>
        <v>2</v>
      </c>
      <c r="AH65" s="34"/>
      <c r="AI65" s="34"/>
      <c r="AJ65" s="34"/>
      <c r="AK65" s="34"/>
      <c r="AL65" s="34"/>
      <c r="AM65" s="34"/>
      <c r="AN65" s="34"/>
      <c r="AO65" s="34"/>
      <c r="AP65" s="34"/>
    </row>
    <row r="66" spans="1:42" ht="15">
      <c r="A66" s="65" t="s">
        <v>471</v>
      </c>
      <c r="B66" s="65" t="s">
        <v>486</v>
      </c>
      <c r="C66" s="66" t="s">
        <v>1853</v>
      </c>
      <c r="D66" s="67">
        <v>2</v>
      </c>
      <c r="E66" s="68"/>
      <c r="F66" s="69">
        <v>32</v>
      </c>
      <c r="G66" s="66"/>
      <c r="H66" s="70"/>
      <c r="I66" s="71"/>
      <c r="J66" s="71"/>
      <c r="K66" s="34" t="s">
        <v>65</v>
      </c>
      <c r="L66" s="78">
        <v>66</v>
      </c>
      <c r="M66" s="78"/>
      <c r="N66" s="73"/>
      <c r="O66" s="80" t="s">
        <v>211</v>
      </c>
      <c r="P66" s="80" t="s">
        <v>212</v>
      </c>
      <c r="Q66" s="80" t="s">
        <v>674</v>
      </c>
      <c r="R66" s="80" t="s">
        <v>471</v>
      </c>
      <c r="S66" s="80" t="s">
        <v>933</v>
      </c>
      <c r="T66" s="82" t="str">
        <f>HYPERLINK("http://www.youtube.com/channel/UCyLKEV3oi9IM2azD6meg7mQ")</f>
        <v>http://www.youtube.com/channel/UCyLKEV3oi9IM2azD6meg7mQ</v>
      </c>
      <c r="U66" s="80" t="s">
        <v>1091</v>
      </c>
      <c r="V66" s="80" t="s">
        <v>1200</v>
      </c>
      <c r="W66" s="82" t="str">
        <f>HYPERLINK("https://www.youtube.com/watch?v=oN6mOmEruOQ")</f>
        <v>https://www.youtube.com/watch?v=oN6mOmEruOQ</v>
      </c>
      <c r="X66" s="80" t="s">
        <v>213</v>
      </c>
      <c r="Y66" s="80">
        <v>0</v>
      </c>
      <c r="Z66" s="84">
        <v>43998.93524305556</v>
      </c>
      <c r="AA66" s="84">
        <v>43998.93524305556</v>
      </c>
      <c r="AB66" s="80"/>
      <c r="AC66" s="80"/>
      <c r="AD66" s="80"/>
      <c r="AE66" s="80">
        <v>1</v>
      </c>
      <c r="AF66" s="79" t="str">
        <f>REPLACE(INDEX(GroupVertices[Group],MATCH(Edges[[#This Row],[Vertex 1]],GroupVertices[Vertex],0)),1,1,"")</f>
        <v>2</v>
      </c>
      <c r="AG66" s="79" t="str">
        <f>REPLACE(INDEX(GroupVertices[Group],MATCH(Edges[[#This Row],[Vertex 2]],GroupVertices[Vertex],0)),1,1,"")</f>
        <v>2</v>
      </c>
      <c r="AH66" s="34"/>
      <c r="AI66" s="34"/>
      <c r="AJ66" s="34"/>
      <c r="AK66" s="34"/>
      <c r="AL66" s="34"/>
      <c r="AM66" s="34"/>
      <c r="AN66" s="34"/>
      <c r="AO66" s="34"/>
      <c r="AP66" s="34"/>
    </row>
    <row r="67" spans="1:42" ht="15">
      <c r="A67" s="65" t="s">
        <v>485</v>
      </c>
      <c r="B67" s="65" t="s">
        <v>486</v>
      </c>
      <c r="C67" s="66" t="s">
        <v>1853</v>
      </c>
      <c r="D67" s="67">
        <v>2</v>
      </c>
      <c r="E67" s="68"/>
      <c r="F67" s="69">
        <v>32</v>
      </c>
      <c r="G67" s="66"/>
      <c r="H67" s="70"/>
      <c r="I67" s="71"/>
      <c r="J67" s="71"/>
      <c r="K67" s="34" t="s">
        <v>65</v>
      </c>
      <c r="L67" s="78">
        <v>67</v>
      </c>
      <c r="M67" s="78"/>
      <c r="N67" s="73"/>
      <c r="O67" s="80" t="s">
        <v>211</v>
      </c>
      <c r="P67" s="80" t="s">
        <v>212</v>
      </c>
      <c r="Q67" s="80" t="s">
        <v>675</v>
      </c>
      <c r="R67" s="80" t="s">
        <v>485</v>
      </c>
      <c r="S67" s="80" t="s">
        <v>947</v>
      </c>
      <c r="T67" s="82" t="str">
        <f>HYPERLINK("http://www.youtube.com/channel/UC9DPBq43Lh9NxAr9PI2_vHQ")</f>
        <v>http://www.youtube.com/channel/UC9DPBq43Lh9NxAr9PI2_vHQ</v>
      </c>
      <c r="U67" s="80" t="s">
        <v>1091</v>
      </c>
      <c r="V67" s="80" t="s">
        <v>1200</v>
      </c>
      <c r="W67" s="82" t="str">
        <f>HYPERLINK("https://www.youtube.com/watch?v=oN6mOmEruOQ")</f>
        <v>https://www.youtube.com/watch?v=oN6mOmEruOQ</v>
      </c>
      <c r="X67" s="80" t="s">
        <v>213</v>
      </c>
      <c r="Y67" s="80">
        <v>0</v>
      </c>
      <c r="Z67" s="84">
        <v>43999.43115740741</v>
      </c>
      <c r="AA67" s="84">
        <v>43999.43115740741</v>
      </c>
      <c r="AB67" s="80"/>
      <c r="AC67" s="80"/>
      <c r="AD67" s="80"/>
      <c r="AE67" s="80">
        <v>1</v>
      </c>
      <c r="AF67" s="79" t="str">
        <f>REPLACE(INDEX(GroupVertices[Group],MATCH(Edges[[#This Row],[Vertex 1]],GroupVertices[Vertex],0)),1,1,"")</f>
        <v>2</v>
      </c>
      <c r="AG67" s="79" t="str">
        <f>REPLACE(INDEX(GroupVertices[Group],MATCH(Edges[[#This Row],[Vertex 2]],GroupVertices[Vertex],0)),1,1,"")</f>
        <v>2</v>
      </c>
      <c r="AH67" s="34"/>
      <c r="AI67" s="34"/>
      <c r="AJ67" s="34"/>
      <c r="AK67" s="34"/>
      <c r="AL67" s="34"/>
      <c r="AM67" s="34"/>
      <c r="AN67" s="34"/>
      <c r="AO67" s="34"/>
      <c r="AP67" s="34"/>
    </row>
    <row r="68" spans="1:42" ht="15">
      <c r="A68" s="65" t="s">
        <v>486</v>
      </c>
      <c r="B68" s="65" t="s">
        <v>461</v>
      </c>
      <c r="C68" s="66" t="s">
        <v>1853</v>
      </c>
      <c r="D68" s="67">
        <v>2</v>
      </c>
      <c r="E68" s="68"/>
      <c r="F68" s="69">
        <v>32</v>
      </c>
      <c r="G68" s="66"/>
      <c r="H68" s="70"/>
      <c r="I68" s="71"/>
      <c r="J68" s="71"/>
      <c r="K68" s="34" t="s">
        <v>65</v>
      </c>
      <c r="L68" s="78">
        <v>68</v>
      </c>
      <c r="M68" s="78"/>
      <c r="N68" s="73"/>
      <c r="O68" s="80" t="s">
        <v>210</v>
      </c>
      <c r="P68" s="80" t="s">
        <v>196</v>
      </c>
      <c r="Q68" s="80" t="s">
        <v>676</v>
      </c>
      <c r="R68" s="80" t="s">
        <v>486</v>
      </c>
      <c r="S68" s="80" t="s">
        <v>948</v>
      </c>
      <c r="T68" s="82" t="str">
        <f>HYPERLINK("http://www.youtube.com/channel/UCS6RpqOI7ievekmwVnzyenw")</f>
        <v>http://www.youtube.com/channel/UCS6RpqOI7ievekmwVnzyenw</v>
      </c>
      <c r="U68" s="80"/>
      <c r="V68" s="80" t="s">
        <v>1200</v>
      </c>
      <c r="W68" s="82" t="str">
        <f>HYPERLINK("https://www.youtube.com/watch?v=oN6mOmEruOQ")</f>
        <v>https://www.youtube.com/watch?v=oN6mOmEruOQ</v>
      </c>
      <c r="X68" s="80" t="s">
        <v>213</v>
      </c>
      <c r="Y68" s="80">
        <v>1</v>
      </c>
      <c r="Z68" s="84">
        <v>43998.79751157408</v>
      </c>
      <c r="AA68" s="84">
        <v>43998.79751157408</v>
      </c>
      <c r="AB68" s="80"/>
      <c r="AC68" s="80"/>
      <c r="AD68" s="80"/>
      <c r="AE68" s="80">
        <v>1</v>
      </c>
      <c r="AF68" s="79" t="str">
        <f>REPLACE(INDEX(GroupVertices[Group],MATCH(Edges[[#This Row],[Vertex 1]],GroupVertices[Vertex],0)),1,1,"")</f>
        <v>2</v>
      </c>
      <c r="AG68" s="79" t="str">
        <f>REPLACE(INDEX(GroupVertices[Group],MATCH(Edges[[#This Row],[Vertex 2]],GroupVertices[Vertex],0)),1,1,"")</f>
        <v>2</v>
      </c>
      <c r="AH68" s="34"/>
      <c r="AI68" s="34"/>
      <c r="AJ68" s="34"/>
      <c r="AK68" s="34"/>
      <c r="AL68" s="34"/>
      <c r="AM68" s="34"/>
      <c r="AN68" s="34"/>
      <c r="AO68" s="34"/>
      <c r="AP68" s="34"/>
    </row>
    <row r="69" spans="1:42" ht="15">
      <c r="A69" s="65" t="s">
        <v>461</v>
      </c>
      <c r="B69" s="65" t="s">
        <v>487</v>
      </c>
      <c r="C69" s="66" t="s">
        <v>1853</v>
      </c>
      <c r="D69" s="67">
        <v>2</v>
      </c>
      <c r="E69" s="68"/>
      <c r="F69" s="69">
        <v>32</v>
      </c>
      <c r="G69" s="66"/>
      <c r="H69" s="70"/>
      <c r="I69" s="71"/>
      <c r="J69" s="71"/>
      <c r="K69" s="34" t="s">
        <v>66</v>
      </c>
      <c r="L69" s="78">
        <v>69</v>
      </c>
      <c r="M69" s="78"/>
      <c r="N69" s="73"/>
      <c r="O69" s="80" t="s">
        <v>211</v>
      </c>
      <c r="P69" s="80" t="s">
        <v>212</v>
      </c>
      <c r="Q69" s="80" t="s">
        <v>677</v>
      </c>
      <c r="R69" s="80" t="s">
        <v>461</v>
      </c>
      <c r="S69" s="80" t="s">
        <v>923</v>
      </c>
      <c r="T69" s="82" t="str">
        <f>HYPERLINK("http://www.youtube.com/channel/UCFp1vaKzpfvoGai0vE5VJ0w")</f>
        <v>http://www.youtube.com/channel/UCFp1vaKzpfvoGai0vE5VJ0w</v>
      </c>
      <c r="U69" s="80" t="s">
        <v>1092</v>
      </c>
      <c r="V69" s="80" t="s">
        <v>1200</v>
      </c>
      <c r="W69" s="82" t="str">
        <f>HYPERLINK("https://www.youtube.com/watch?v=oN6mOmEruOQ")</f>
        <v>https://www.youtube.com/watch?v=oN6mOmEruOQ</v>
      </c>
      <c r="X69" s="80" t="s">
        <v>213</v>
      </c>
      <c r="Y69" s="80">
        <v>0</v>
      </c>
      <c r="Z69" s="84">
        <v>44000.611759259256</v>
      </c>
      <c r="AA69" s="84">
        <v>44000.611759259256</v>
      </c>
      <c r="AB69" s="80"/>
      <c r="AC69" s="80"/>
      <c r="AD69" s="80"/>
      <c r="AE69" s="80">
        <v>1</v>
      </c>
      <c r="AF69" s="79" t="str">
        <f>REPLACE(INDEX(GroupVertices[Group],MATCH(Edges[[#This Row],[Vertex 1]],GroupVertices[Vertex],0)),1,1,"")</f>
        <v>2</v>
      </c>
      <c r="AG69" s="79" t="str">
        <f>REPLACE(INDEX(GroupVertices[Group],MATCH(Edges[[#This Row],[Vertex 2]],GroupVertices[Vertex],0)),1,1,"")</f>
        <v>2</v>
      </c>
      <c r="AH69" s="34"/>
      <c r="AI69" s="34"/>
      <c r="AJ69" s="34"/>
      <c r="AK69" s="34"/>
      <c r="AL69" s="34"/>
      <c r="AM69" s="34"/>
      <c r="AN69" s="34"/>
      <c r="AO69" s="34"/>
      <c r="AP69" s="34"/>
    </row>
    <row r="70" spans="1:42" ht="15">
      <c r="A70" s="65" t="s">
        <v>487</v>
      </c>
      <c r="B70" s="65" t="s">
        <v>461</v>
      </c>
      <c r="C70" s="66" t="s">
        <v>1853</v>
      </c>
      <c r="D70" s="67">
        <v>2</v>
      </c>
      <c r="E70" s="68"/>
      <c r="F70" s="69">
        <v>32</v>
      </c>
      <c r="G70" s="66"/>
      <c r="H70" s="70"/>
      <c r="I70" s="71"/>
      <c r="J70" s="71"/>
      <c r="K70" s="34" t="s">
        <v>66</v>
      </c>
      <c r="L70" s="78">
        <v>70</v>
      </c>
      <c r="M70" s="78"/>
      <c r="N70" s="73"/>
      <c r="O70" s="80" t="s">
        <v>210</v>
      </c>
      <c r="P70" s="80" t="s">
        <v>196</v>
      </c>
      <c r="Q70" s="80" t="s">
        <v>678</v>
      </c>
      <c r="R70" s="80" t="s">
        <v>487</v>
      </c>
      <c r="S70" s="80" t="s">
        <v>949</v>
      </c>
      <c r="T70" s="82" t="str">
        <f>HYPERLINK("http://www.youtube.com/channel/UCGOS8_DGX0dvUTeW79t4cdQ")</f>
        <v>http://www.youtube.com/channel/UCGOS8_DGX0dvUTeW79t4cdQ</v>
      </c>
      <c r="U70" s="80"/>
      <c r="V70" s="80" t="s">
        <v>1200</v>
      </c>
      <c r="W70" s="82" t="str">
        <f>HYPERLINK("https://www.youtube.com/watch?v=oN6mOmEruOQ")</f>
        <v>https://www.youtube.com/watch?v=oN6mOmEruOQ</v>
      </c>
      <c r="X70" s="80" t="s">
        <v>213</v>
      </c>
      <c r="Y70" s="80">
        <v>1</v>
      </c>
      <c r="Z70" s="84">
        <v>43998.801458333335</v>
      </c>
      <c r="AA70" s="84">
        <v>43998.801458333335</v>
      </c>
      <c r="AB70" s="80"/>
      <c r="AC70" s="80"/>
      <c r="AD70" s="80"/>
      <c r="AE70" s="80">
        <v>1</v>
      </c>
      <c r="AF70" s="79" t="str">
        <f>REPLACE(INDEX(GroupVertices[Group],MATCH(Edges[[#This Row],[Vertex 1]],GroupVertices[Vertex],0)),1,1,"")</f>
        <v>2</v>
      </c>
      <c r="AG70" s="79" t="str">
        <f>REPLACE(INDEX(GroupVertices[Group],MATCH(Edges[[#This Row],[Vertex 2]],GroupVertices[Vertex],0)),1,1,"")</f>
        <v>2</v>
      </c>
      <c r="AH70" s="34"/>
      <c r="AI70" s="34"/>
      <c r="AJ70" s="34"/>
      <c r="AK70" s="34"/>
      <c r="AL70" s="34"/>
      <c r="AM70" s="34"/>
      <c r="AN70" s="34"/>
      <c r="AO70" s="34"/>
      <c r="AP70" s="34"/>
    </row>
    <row r="71" spans="1:42" ht="15">
      <c r="A71" s="65" t="s">
        <v>488</v>
      </c>
      <c r="B71" s="65" t="s">
        <v>489</v>
      </c>
      <c r="C71" s="66" t="s">
        <v>1853</v>
      </c>
      <c r="D71" s="67">
        <v>2</v>
      </c>
      <c r="E71" s="68"/>
      <c r="F71" s="69">
        <v>32</v>
      </c>
      <c r="G71" s="66"/>
      <c r="H71" s="70"/>
      <c r="I71" s="71"/>
      <c r="J71" s="71"/>
      <c r="K71" s="34" t="s">
        <v>65</v>
      </c>
      <c r="L71" s="78">
        <v>71</v>
      </c>
      <c r="M71" s="78"/>
      <c r="N71" s="73"/>
      <c r="O71" s="80" t="s">
        <v>211</v>
      </c>
      <c r="P71" s="80" t="s">
        <v>212</v>
      </c>
      <c r="Q71" s="80" t="s">
        <v>679</v>
      </c>
      <c r="R71" s="80" t="s">
        <v>488</v>
      </c>
      <c r="S71" s="80" t="s">
        <v>950</v>
      </c>
      <c r="T71" s="82" t="str">
        <f>HYPERLINK("http://www.youtube.com/channel/UCH28ti2JbgebtjJoLCda91g")</f>
        <v>http://www.youtube.com/channel/UCH28ti2JbgebtjJoLCda91g</v>
      </c>
      <c r="U71" s="80" t="s">
        <v>1093</v>
      </c>
      <c r="V71" s="80" t="s">
        <v>1200</v>
      </c>
      <c r="W71" s="82" t="str">
        <f>HYPERLINK("https://www.youtube.com/watch?v=oN6mOmEruOQ")</f>
        <v>https://www.youtube.com/watch?v=oN6mOmEruOQ</v>
      </c>
      <c r="X71" s="80" t="s">
        <v>213</v>
      </c>
      <c r="Y71" s="80">
        <v>0</v>
      </c>
      <c r="Z71" s="84">
        <v>44001.01291666667</v>
      </c>
      <c r="AA71" s="84">
        <v>44001.01291666667</v>
      </c>
      <c r="AB71" s="80"/>
      <c r="AC71" s="80"/>
      <c r="AD71" s="80"/>
      <c r="AE71" s="80">
        <v>1</v>
      </c>
      <c r="AF71" s="79" t="str">
        <f>REPLACE(INDEX(GroupVertices[Group],MATCH(Edges[[#This Row],[Vertex 1]],GroupVertices[Vertex],0)),1,1,"")</f>
        <v>2</v>
      </c>
      <c r="AG71" s="79" t="str">
        <f>REPLACE(INDEX(GroupVertices[Group],MATCH(Edges[[#This Row],[Vertex 2]],GroupVertices[Vertex],0)),1,1,"")</f>
        <v>2</v>
      </c>
      <c r="AH71" s="34"/>
      <c r="AI71" s="34"/>
      <c r="AJ71" s="34"/>
      <c r="AK71" s="34"/>
      <c r="AL71" s="34"/>
      <c r="AM71" s="34"/>
      <c r="AN71" s="34"/>
      <c r="AO71" s="34"/>
      <c r="AP71" s="34"/>
    </row>
    <row r="72" spans="1:42" ht="15">
      <c r="A72" s="65" t="s">
        <v>461</v>
      </c>
      <c r="B72" s="65" t="s">
        <v>489</v>
      </c>
      <c r="C72" s="66" t="s">
        <v>1853</v>
      </c>
      <c r="D72" s="67">
        <v>2</v>
      </c>
      <c r="E72" s="68"/>
      <c r="F72" s="69">
        <v>32</v>
      </c>
      <c r="G72" s="66"/>
      <c r="H72" s="70"/>
      <c r="I72" s="71"/>
      <c r="J72" s="71"/>
      <c r="K72" s="34" t="s">
        <v>66</v>
      </c>
      <c r="L72" s="78">
        <v>72</v>
      </c>
      <c r="M72" s="78"/>
      <c r="N72" s="73"/>
      <c r="O72" s="80" t="s">
        <v>211</v>
      </c>
      <c r="P72" s="80" t="s">
        <v>212</v>
      </c>
      <c r="Q72" s="80" t="s">
        <v>680</v>
      </c>
      <c r="R72" s="80" t="s">
        <v>461</v>
      </c>
      <c r="S72" s="80" t="s">
        <v>923</v>
      </c>
      <c r="T72" s="82" t="str">
        <f>HYPERLINK("http://www.youtube.com/channel/UCFp1vaKzpfvoGai0vE5VJ0w")</f>
        <v>http://www.youtube.com/channel/UCFp1vaKzpfvoGai0vE5VJ0w</v>
      </c>
      <c r="U72" s="80" t="s">
        <v>1093</v>
      </c>
      <c r="V72" s="80" t="s">
        <v>1200</v>
      </c>
      <c r="W72" s="82" t="str">
        <f>HYPERLINK("https://www.youtube.com/watch?v=oN6mOmEruOQ")</f>
        <v>https://www.youtube.com/watch?v=oN6mOmEruOQ</v>
      </c>
      <c r="X72" s="80" t="s">
        <v>213</v>
      </c>
      <c r="Y72" s="80">
        <v>2</v>
      </c>
      <c r="Z72" s="84">
        <v>44000.61158564815</v>
      </c>
      <c r="AA72" s="84">
        <v>44000.61158564815</v>
      </c>
      <c r="AB72" s="80"/>
      <c r="AC72" s="80"/>
      <c r="AD72" s="80"/>
      <c r="AE72" s="80">
        <v>1</v>
      </c>
      <c r="AF72" s="79" t="str">
        <f>REPLACE(INDEX(GroupVertices[Group],MATCH(Edges[[#This Row],[Vertex 1]],GroupVertices[Vertex],0)),1,1,"")</f>
        <v>2</v>
      </c>
      <c r="AG72" s="79" t="str">
        <f>REPLACE(INDEX(GroupVertices[Group],MATCH(Edges[[#This Row],[Vertex 2]],GroupVertices[Vertex],0)),1,1,"")</f>
        <v>2</v>
      </c>
      <c r="AH72" s="34"/>
      <c r="AI72" s="34"/>
      <c r="AJ72" s="34"/>
      <c r="AK72" s="34"/>
      <c r="AL72" s="34"/>
      <c r="AM72" s="34"/>
      <c r="AN72" s="34"/>
      <c r="AO72" s="34"/>
      <c r="AP72" s="34"/>
    </row>
    <row r="73" spans="1:42" ht="15">
      <c r="A73" s="65" t="s">
        <v>489</v>
      </c>
      <c r="B73" s="65" t="s">
        <v>461</v>
      </c>
      <c r="C73" s="66" t="s">
        <v>1853</v>
      </c>
      <c r="D73" s="67">
        <v>2</v>
      </c>
      <c r="E73" s="68"/>
      <c r="F73" s="69">
        <v>32</v>
      </c>
      <c r="G73" s="66"/>
      <c r="H73" s="70"/>
      <c r="I73" s="71"/>
      <c r="J73" s="71"/>
      <c r="K73" s="34" t="s">
        <v>66</v>
      </c>
      <c r="L73" s="78">
        <v>73</v>
      </c>
      <c r="M73" s="78"/>
      <c r="N73" s="73"/>
      <c r="O73" s="80" t="s">
        <v>210</v>
      </c>
      <c r="P73" s="80" t="s">
        <v>196</v>
      </c>
      <c r="Q73" s="80" t="s">
        <v>681</v>
      </c>
      <c r="R73" s="80" t="s">
        <v>489</v>
      </c>
      <c r="S73" s="80" t="s">
        <v>951</v>
      </c>
      <c r="T73" s="82" t="str">
        <f>HYPERLINK("http://www.youtube.com/channel/UC_eBsljmqd2ATK8SrWCOXKw")</f>
        <v>http://www.youtube.com/channel/UC_eBsljmqd2ATK8SrWCOXKw</v>
      </c>
      <c r="U73" s="80"/>
      <c r="V73" s="80" t="s">
        <v>1200</v>
      </c>
      <c r="W73" s="82" t="str">
        <f>HYPERLINK("https://www.youtube.com/watch?v=oN6mOmEruOQ")</f>
        <v>https://www.youtube.com/watch?v=oN6mOmEruOQ</v>
      </c>
      <c r="X73" s="80" t="s">
        <v>213</v>
      </c>
      <c r="Y73" s="80">
        <v>2</v>
      </c>
      <c r="Z73" s="84">
        <v>43998.80721064815</v>
      </c>
      <c r="AA73" s="84">
        <v>43998.80721064815</v>
      </c>
      <c r="AB73" s="80"/>
      <c r="AC73" s="80"/>
      <c r="AD73" s="80"/>
      <c r="AE73" s="80">
        <v>1</v>
      </c>
      <c r="AF73" s="79" t="str">
        <f>REPLACE(INDEX(GroupVertices[Group],MATCH(Edges[[#This Row],[Vertex 1]],GroupVertices[Vertex],0)),1,1,"")</f>
        <v>2</v>
      </c>
      <c r="AG73" s="79" t="str">
        <f>REPLACE(INDEX(GroupVertices[Group],MATCH(Edges[[#This Row],[Vertex 2]],GroupVertices[Vertex],0)),1,1,"")</f>
        <v>2</v>
      </c>
      <c r="AH73" s="34"/>
      <c r="AI73" s="34"/>
      <c r="AJ73" s="34"/>
      <c r="AK73" s="34"/>
      <c r="AL73" s="34"/>
      <c r="AM73" s="34"/>
      <c r="AN73" s="34"/>
      <c r="AO73" s="34"/>
      <c r="AP73" s="34"/>
    </row>
    <row r="74" spans="1:42" ht="15">
      <c r="A74" s="65" t="s">
        <v>469</v>
      </c>
      <c r="B74" s="65" t="s">
        <v>490</v>
      </c>
      <c r="C74" s="66" t="s">
        <v>1853</v>
      </c>
      <c r="D74" s="67">
        <v>2</v>
      </c>
      <c r="E74" s="68"/>
      <c r="F74" s="69">
        <v>32</v>
      </c>
      <c r="G74" s="66"/>
      <c r="H74" s="70"/>
      <c r="I74" s="71"/>
      <c r="J74" s="71"/>
      <c r="K74" s="34" t="s">
        <v>65</v>
      </c>
      <c r="L74" s="78">
        <v>74</v>
      </c>
      <c r="M74" s="78"/>
      <c r="N74" s="73"/>
      <c r="O74" s="80" t="s">
        <v>211</v>
      </c>
      <c r="P74" s="80" t="s">
        <v>212</v>
      </c>
      <c r="Q74" s="80" t="s">
        <v>682</v>
      </c>
      <c r="R74" s="80" t="s">
        <v>469</v>
      </c>
      <c r="S74" s="80" t="s">
        <v>931</v>
      </c>
      <c r="T74" s="82" t="str">
        <f>HYPERLINK("http://www.youtube.com/channel/UC3qA8S5n70Al1RdjujIaWrQ")</f>
        <v>http://www.youtube.com/channel/UC3qA8S5n70Al1RdjujIaWrQ</v>
      </c>
      <c r="U74" s="80" t="s">
        <v>1094</v>
      </c>
      <c r="V74" s="80" t="s">
        <v>1200</v>
      </c>
      <c r="W74" s="82" t="str">
        <f>HYPERLINK("https://www.youtube.com/watch?v=oN6mOmEruOQ")</f>
        <v>https://www.youtube.com/watch?v=oN6mOmEruOQ</v>
      </c>
      <c r="X74" s="80" t="s">
        <v>213</v>
      </c>
      <c r="Y74" s="80">
        <v>0</v>
      </c>
      <c r="Z74" s="84">
        <v>43999.52622685185</v>
      </c>
      <c r="AA74" s="84">
        <v>43999.52622685185</v>
      </c>
      <c r="AB74" s="80"/>
      <c r="AC74" s="80"/>
      <c r="AD74" s="80"/>
      <c r="AE74" s="80">
        <v>1</v>
      </c>
      <c r="AF74" s="79" t="str">
        <f>REPLACE(INDEX(GroupVertices[Group],MATCH(Edges[[#This Row],[Vertex 1]],GroupVertices[Vertex],0)),1,1,"")</f>
        <v>11</v>
      </c>
      <c r="AG74" s="79" t="str">
        <f>REPLACE(INDEX(GroupVertices[Group],MATCH(Edges[[#This Row],[Vertex 2]],GroupVertices[Vertex],0)),1,1,"")</f>
        <v>11</v>
      </c>
      <c r="AH74" s="34"/>
      <c r="AI74" s="34"/>
      <c r="AJ74" s="34"/>
      <c r="AK74" s="34"/>
      <c r="AL74" s="34"/>
      <c r="AM74" s="34"/>
      <c r="AN74" s="34"/>
      <c r="AO74" s="34"/>
      <c r="AP74" s="34"/>
    </row>
    <row r="75" spans="1:42" ht="15">
      <c r="A75" s="65" t="s">
        <v>490</v>
      </c>
      <c r="B75" s="65" t="s">
        <v>461</v>
      </c>
      <c r="C75" s="66" t="s">
        <v>1853</v>
      </c>
      <c r="D75" s="67">
        <v>2</v>
      </c>
      <c r="E75" s="68"/>
      <c r="F75" s="69">
        <v>32</v>
      </c>
      <c r="G75" s="66"/>
      <c r="H75" s="70"/>
      <c r="I75" s="71"/>
      <c r="J75" s="71"/>
      <c r="K75" s="34" t="s">
        <v>65</v>
      </c>
      <c r="L75" s="78">
        <v>75</v>
      </c>
      <c r="M75" s="78"/>
      <c r="N75" s="73"/>
      <c r="O75" s="80" t="s">
        <v>210</v>
      </c>
      <c r="P75" s="80" t="s">
        <v>196</v>
      </c>
      <c r="Q75" s="80" t="s">
        <v>683</v>
      </c>
      <c r="R75" s="80" t="s">
        <v>490</v>
      </c>
      <c r="S75" s="80" t="s">
        <v>952</v>
      </c>
      <c r="T75" s="82" t="str">
        <f>HYPERLINK("http://www.youtube.com/channel/UC0L2P2J4fT5s2-UPhWQIZsg")</f>
        <v>http://www.youtube.com/channel/UC0L2P2J4fT5s2-UPhWQIZsg</v>
      </c>
      <c r="U75" s="80"/>
      <c r="V75" s="80" t="s">
        <v>1200</v>
      </c>
      <c r="W75" s="82" t="str">
        <f>HYPERLINK("https://www.youtube.com/watch?v=oN6mOmEruOQ")</f>
        <v>https://www.youtube.com/watch?v=oN6mOmEruOQ</v>
      </c>
      <c r="X75" s="80" t="s">
        <v>213</v>
      </c>
      <c r="Y75" s="80">
        <v>2</v>
      </c>
      <c r="Z75" s="84">
        <v>43998.819386574076</v>
      </c>
      <c r="AA75" s="84">
        <v>43998.819386574076</v>
      </c>
      <c r="AB75" s="80"/>
      <c r="AC75" s="80"/>
      <c r="AD75" s="80"/>
      <c r="AE75" s="80">
        <v>1</v>
      </c>
      <c r="AF75" s="79" t="str">
        <f>REPLACE(INDEX(GroupVertices[Group],MATCH(Edges[[#This Row],[Vertex 1]],GroupVertices[Vertex],0)),1,1,"")</f>
        <v>11</v>
      </c>
      <c r="AG75" s="79" t="str">
        <f>REPLACE(INDEX(GroupVertices[Group],MATCH(Edges[[#This Row],[Vertex 2]],GroupVertices[Vertex],0)),1,1,"")</f>
        <v>2</v>
      </c>
      <c r="AH75" s="34"/>
      <c r="AI75" s="34"/>
      <c r="AJ75" s="34"/>
      <c r="AK75" s="34"/>
      <c r="AL75" s="34"/>
      <c r="AM75" s="34"/>
      <c r="AN75" s="34"/>
      <c r="AO75" s="34"/>
      <c r="AP75" s="34"/>
    </row>
    <row r="76" spans="1:42" ht="15">
      <c r="A76" s="65" t="s">
        <v>461</v>
      </c>
      <c r="B76" s="65" t="s">
        <v>491</v>
      </c>
      <c r="C76" s="66" t="s">
        <v>1853</v>
      </c>
      <c r="D76" s="67">
        <v>2</v>
      </c>
      <c r="E76" s="68"/>
      <c r="F76" s="69">
        <v>32</v>
      </c>
      <c r="G76" s="66"/>
      <c r="H76" s="70"/>
      <c r="I76" s="71"/>
      <c r="J76" s="71"/>
      <c r="K76" s="34" t="s">
        <v>66</v>
      </c>
      <c r="L76" s="78">
        <v>76</v>
      </c>
      <c r="M76" s="78"/>
      <c r="N76" s="73"/>
      <c r="O76" s="80" t="s">
        <v>211</v>
      </c>
      <c r="P76" s="80" t="s">
        <v>212</v>
      </c>
      <c r="Q76" s="80" t="s">
        <v>684</v>
      </c>
      <c r="R76" s="80" t="s">
        <v>461</v>
      </c>
      <c r="S76" s="80" t="s">
        <v>923</v>
      </c>
      <c r="T76" s="82" t="str">
        <f>HYPERLINK("http://www.youtube.com/channel/UCFp1vaKzpfvoGai0vE5VJ0w")</f>
        <v>http://www.youtube.com/channel/UCFp1vaKzpfvoGai0vE5VJ0w</v>
      </c>
      <c r="U76" s="80" t="s">
        <v>1095</v>
      </c>
      <c r="V76" s="80" t="s">
        <v>1200</v>
      </c>
      <c r="W76" s="82" t="str">
        <f>HYPERLINK("https://www.youtube.com/watch?v=oN6mOmEruOQ")</f>
        <v>https://www.youtube.com/watch?v=oN6mOmEruOQ</v>
      </c>
      <c r="X76" s="80" t="s">
        <v>213</v>
      </c>
      <c r="Y76" s="80">
        <v>0</v>
      </c>
      <c r="Z76" s="84">
        <v>44000.62028935185</v>
      </c>
      <c r="AA76" s="84">
        <v>44000.62028935185</v>
      </c>
      <c r="AB76" s="80"/>
      <c r="AC76" s="80"/>
      <c r="AD76" s="80"/>
      <c r="AE76" s="80">
        <v>1</v>
      </c>
      <c r="AF76" s="79" t="str">
        <f>REPLACE(INDEX(GroupVertices[Group],MATCH(Edges[[#This Row],[Vertex 1]],GroupVertices[Vertex],0)),1,1,"")</f>
        <v>2</v>
      </c>
      <c r="AG76" s="79" t="str">
        <f>REPLACE(INDEX(GroupVertices[Group],MATCH(Edges[[#This Row],[Vertex 2]],GroupVertices[Vertex],0)),1,1,"")</f>
        <v>2</v>
      </c>
      <c r="AH76" s="34"/>
      <c r="AI76" s="34"/>
      <c r="AJ76" s="34"/>
      <c r="AK76" s="34"/>
      <c r="AL76" s="34"/>
      <c r="AM76" s="34"/>
      <c r="AN76" s="34"/>
      <c r="AO76" s="34"/>
      <c r="AP76" s="34"/>
    </row>
    <row r="77" spans="1:42" ht="15">
      <c r="A77" s="65" t="s">
        <v>491</v>
      </c>
      <c r="B77" s="65" t="s">
        <v>461</v>
      </c>
      <c r="C77" s="66" t="s">
        <v>1853</v>
      </c>
      <c r="D77" s="67">
        <v>2</v>
      </c>
      <c r="E77" s="68"/>
      <c r="F77" s="69">
        <v>32</v>
      </c>
      <c r="G77" s="66"/>
      <c r="H77" s="70"/>
      <c r="I77" s="71"/>
      <c r="J77" s="71"/>
      <c r="K77" s="34" t="s">
        <v>66</v>
      </c>
      <c r="L77" s="78">
        <v>77</v>
      </c>
      <c r="M77" s="78"/>
      <c r="N77" s="73"/>
      <c r="O77" s="80" t="s">
        <v>210</v>
      </c>
      <c r="P77" s="80" t="s">
        <v>196</v>
      </c>
      <c r="Q77" s="80" t="s">
        <v>685</v>
      </c>
      <c r="R77" s="80" t="s">
        <v>491</v>
      </c>
      <c r="S77" s="80" t="s">
        <v>953</v>
      </c>
      <c r="T77" s="82" t="str">
        <f>HYPERLINK("http://www.youtube.com/channel/UCNPsQn3CSE8nBwTKt4qDdaw")</f>
        <v>http://www.youtube.com/channel/UCNPsQn3CSE8nBwTKt4qDdaw</v>
      </c>
      <c r="U77" s="80"/>
      <c r="V77" s="80" t="s">
        <v>1200</v>
      </c>
      <c r="W77" s="82" t="str">
        <f>HYPERLINK("https://www.youtube.com/watch?v=oN6mOmEruOQ")</f>
        <v>https://www.youtube.com/watch?v=oN6mOmEruOQ</v>
      </c>
      <c r="X77" s="80" t="s">
        <v>213</v>
      </c>
      <c r="Y77" s="80">
        <v>0</v>
      </c>
      <c r="Z77" s="84">
        <v>43999.57612268518</v>
      </c>
      <c r="AA77" s="84">
        <v>43999.57612268518</v>
      </c>
      <c r="AB77" s="80"/>
      <c r="AC77" s="80"/>
      <c r="AD77" s="80"/>
      <c r="AE77" s="80">
        <v>1</v>
      </c>
      <c r="AF77" s="79" t="str">
        <f>REPLACE(INDEX(GroupVertices[Group],MATCH(Edges[[#This Row],[Vertex 1]],GroupVertices[Vertex],0)),1,1,"")</f>
        <v>2</v>
      </c>
      <c r="AG77" s="79" t="str">
        <f>REPLACE(INDEX(GroupVertices[Group],MATCH(Edges[[#This Row],[Vertex 2]],GroupVertices[Vertex],0)),1,1,"")</f>
        <v>2</v>
      </c>
      <c r="AH77" s="34"/>
      <c r="AI77" s="34"/>
      <c r="AJ77" s="34"/>
      <c r="AK77" s="34"/>
      <c r="AL77" s="34"/>
      <c r="AM77" s="34"/>
      <c r="AN77" s="34"/>
      <c r="AO77" s="34"/>
      <c r="AP77" s="34"/>
    </row>
    <row r="78" spans="1:42" ht="15">
      <c r="A78" s="65" t="s">
        <v>492</v>
      </c>
      <c r="B78" s="65" t="s">
        <v>493</v>
      </c>
      <c r="C78" s="66" t="s">
        <v>1853</v>
      </c>
      <c r="D78" s="67">
        <v>2</v>
      </c>
      <c r="E78" s="68"/>
      <c r="F78" s="69">
        <v>32</v>
      </c>
      <c r="G78" s="66"/>
      <c r="H78" s="70"/>
      <c r="I78" s="71"/>
      <c r="J78" s="71"/>
      <c r="K78" s="34" t="s">
        <v>65</v>
      </c>
      <c r="L78" s="78">
        <v>78</v>
      </c>
      <c r="M78" s="78"/>
      <c r="N78" s="73"/>
      <c r="O78" s="80" t="s">
        <v>211</v>
      </c>
      <c r="P78" s="80" t="s">
        <v>212</v>
      </c>
      <c r="Q78" s="80" t="s">
        <v>686</v>
      </c>
      <c r="R78" s="80" t="s">
        <v>492</v>
      </c>
      <c r="S78" s="80" t="s">
        <v>954</v>
      </c>
      <c r="T78" s="82" t="str">
        <f>HYPERLINK("http://www.youtube.com/channel/UCYuTigupd7XdxlWkFVKBx9w")</f>
        <v>http://www.youtube.com/channel/UCYuTigupd7XdxlWkFVKBx9w</v>
      </c>
      <c r="U78" s="80" t="s">
        <v>1096</v>
      </c>
      <c r="V78" s="80" t="s">
        <v>1200</v>
      </c>
      <c r="W78" s="82" t="str">
        <f>HYPERLINK("https://www.youtube.com/watch?v=oN6mOmEruOQ")</f>
        <v>https://www.youtube.com/watch?v=oN6mOmEruOQ</v>
      </c>
      <c r="X78" s="80" t="s">
        <v>213</v>
      </c>
      <c r="Y78" s="80">
        <v>0</v>
      </c>
      <c r="Z78" s="84">
        <v>44000.81715277778</v>
      </c>
      <c r="AA78" s="84">
        <v>44000.81715277778</v>
      </c>
      <c r="AB78" s="80"/>
      <c r="AC78" s="80"/>
      <c r="AD78" s="80"/>
      <c r="AE78" s="80">
        <v>1</v>
      </c>
      <c r="AF78" s="79" t="str">
        <f>REPLACE(INDEX(GroupVertices[Group],MATCH(Edges[[#This Row],[Vertex 1]],GroupVertices[Vertex],0)),1,1,"")</f>
        <v>2</v>
      </c>
      <c r="AG78" s="79" t="str">
        <f>REPLACE(INDEX(GroupVertices[Group],MATCH(Edges[[#This Row],[Vertex 2]],GroupVertices[Vertex],0)),1,1,"")</f>
        <v>2</v>
      </c>
      <c r="AH78" s="34"/>
      <c r="AI78" s="34"/>
      <c r="AJ78" s="34"/>
      <c r="AK78" s="34"/>
      <c r="AL78" s="34"/>
      <c r="AM78" s="34"/>
      <c r="AN78" s="34"/>
      <c r="AO78" s="34"/>
      <c r="AP78" s="34"/>
    </row>
    <row r="79" spans="1:42" ht="15">
      <c r="A79" s="65" t="s">
        <v>461</v>
      </c>
      <c r="B79" s="65" t="s">
        <v>493</v>
      </c>
      <c r="C79" s="66" t="s">
        <v>1853</v>
      </c>
      <c r="D79" s="67">
        <v>2</v>
      </c>
      <c r="E79" s="68"/>
      <c r="F79" s="69">
        <v>32</v>
      </c>
      <c r="G79" s="66"/>
      <c r="H79" s="70"/>
      <c r="I79" s="71"/>
      <c r="J79" s="71"/>
      <c r="K79" s="34" t="s">
        <v>66</v>
      </c>
      <c r="L79" s="78">
        <v>79</v>
      </c>
      <c r="M79" s="78"/>
      <c r="N79" s="73"/>
      <c r="O79" s="80" t="s">
        <v>211</v>
      </c>
      <c r="P79" s="80" t="s">
        <v>212</v>
      </c>
      <c r="Q79" s="80" t="s">
        <v>687</v>
      </c>
      <c r="R79" s="80" t="s">
        <v>461</v>
      </c>
      <c r="S79" s="80" t="s">
        <v>923</v>
      </c>
      <c r="T79" s="82" t="str">
        <f>HYPERLINK("http://www.youtube.com/channel/UCFp1vaKzpfvoGai0vE5VJ0w")</f>
        <v>http://www.youtube.com/channel/UCFp1vaKzpfvoGai0vE5VJ0w</v>
      </c>
      <c r="U79" s="80" t="s">
        <v>1096</v>
      </c>
      <c r="V79" s="80" t="s">
        <v>1200</v>
      </c>
      <c r="W79" s="82" t="str">
        <f>HYPERLINK("https://www.youtube.com/watch?v=oN6mOmEruOQ")</f>
        <v>https://www.youtube.com/watch?v=oN6mOmEruOQ</v>
      </c>
      <c r="X79" s="80" t="s">
        <v>213</v>
      </c>
      <c r="Y79" s="80">
        <v>0</v>
      </c>
      <c r="Z79" s="84">
        <v>44000.619791666664</v>
      </c>
      <c r="AA79" s="84">
        <v>44000.619791666664</v>
      </c>
      <c r="AB79" s="80"/>
      <c r="AC79" s="80"/>
      <c r="AD79" s="80"/>
      <c r="AE79" s="80">
        <v>1</v>
      </c>
      <c r="AF79" s="79" t="str">
        <f>REPLACE(INDEX(GroupVertices[Group],MATCH(Edges[[#This Row],[Vertex 1]],GroupVertices[Vertex],0)),1,1,"")</f>
        <v>2</v>
      </c>
      <c r="AG79" s="79" t="str">
        <f>REPLACE(INDEX(GroupVertices[Group],MATCH(Edges[[#This Row],[Vertex 2]],GroupVertices[Vertex],0)),1,1,"")</f>
        <v>2</v>
      </c>
      <c r="AH79" s="34"/>
      <c r="AI79" s="34"/>
      <c r="AJ79" s="34"/>
      <c r="AK79" s="34"/>
      <c r="AL79" s="34"/>
      <c r="AM79" s="34"/>
      <c r="AN79" s="34"/>
      <c r="AO79" s="34"/>
      <c r="AP79" s="34"/>
    </row>
    <row r="80" spans="1:42" ht="15">
      <c r="A80" s="65" t="s">
        <v>493</v>
      </c>
      <c r="B80" s="65" t="s">
        <v>461</v>
      </c>
      <c r="C80" s="66" t="s">
        <v>1853</v>
      </c>
      <c r="D80" s="67">
        <v>2</v>
      </c>
      <c r="E80" s="68"/>
      <c r="F80" s="69">
        <v>32</v>
      </c>
      <c r="G80" s="66"/>
      <c r="H80" s="70"/>
      <c r="I80" s="71"/>
      <c r="J80" s="71"/>
      <c r="K80" s="34" t="s">
        <v>66</v>
      </c>
      <c r="L80" s="78">
        <v>80</v>
      </c>
      <c r="M80" s="78"/>
      <c r="N80" s="73"/>
      <c r="O80" s="80" t="s">
        <v>210</v>
      </c>
      <c r="P80" s="80" t="s">
        <v>196</v>
      </c>
      <c r="Q80" s="80" t="s">
        <v>688</v>
      </c>
      <c r="R80" s="80" t="s">
        <v>493</v>
      </c>
      <c r="S80" s="80" t="s">
        <v>955</v>
      </c>
      <c r="T80" s="82" t="str">
        <f>HYPERLINK("http://www.youtube.com/channel/UCYel16PKs3LGkCpXakqFq1w")</f>
        <v>http://www.youtube.com/channel/UCYel16PKs3LGkCpXakqFq1w</v>
      </c>
      <c r="U80" s="80"/>
      <c r="V80" s="80" t="s">
        <v>1200</v>
      </c>
      <c r="W80" s="82" t="str">
        <f>HYPERLINK("https://www.youtube.com/watch?v=oN6mOmEruOQ")</f>
        <v>https://www.youtube.com/watch?v=oN6mOmEruOQ</v>
      </c>
      <c r="X80" s="80" t="s">
        <v>213</v>
      </c>
      <c r="Y80" s="80">
        <v>1</v>
      </c>
      <c r="Z80" s="84">
        <v>43999.649351851855</v>
      </c>
      <c r="AA80" s="84">
        <v>43999.649351851855</v>
      </c>
      <c r="AB80" s="80"/>
      <c r="AC80" s="80"/>
      <c r="AD80" s="80"/>
      <c r="AE80" s="80">
        <v>1</v>
      </c>
      <c r="AF80" s="79" t="str">
        <f>REPLACE(INDEX(GroupVertices[Group],MATCH(Edges[[#This Row],[Vertex 1]],GroupVertices[Vertex],0)),1,1,"")</f>
        <v>2</v>
      </c>
      <c r="AG80" s="79" t="str">
        <f>REPLACE(INDEX(GroupVertices[Group],MATCH(Edges[[#This Row],[Vertex 2]],GroupVertices[Vertex],0)),1,1,"")</f>
        <v>2</v>
      </c>
      <c r="AH80" s="34"/>
      <c r="AI80" s="34"/>
      <c r="AJ80" s="34"/>
      <c r="AK80" s="34"/>
      <c r="AL80" s="34"/>
      <c r="AM80" s="34"/>
      <c r="AN80" s="34"/>
      <c r="AO80" s="34"/>
      <c r="AP80" s="34"/>
    </row>
    <row r="81" spans="1:42" ht="15">
      <c r="A81" s="65" t="s">
        <v>461</v>
      </c>
      <c r="B81" s="65" t="s">
        <v>494</v>
      </c>
      <c r="C81" s="66" t="s">
        <v>1853</v>
      </c>
      <c r="D81" s="67">
        <v>2</v>
      </c>
      <c r="E81" s="68"/>
      <c r="F81" s="69">
        <v>32</v>
      </c>
      <c r="G81" s="66"/>
      <c r="H81" s="70"/>
      <c r="I81" s="71"/>
      <c r="J81" s="71"/>
      <c r="K81" s="34" t="s">
        <v>66</v>
      </c>
      <c r="L81" s="78">
        <v>81</v>
      </c>
      <c r="M81" s="78"/>
      <c r="N81" s="73"/>
      <c r="O81" s="80" t="s">
        <v>211</v>
      </c>
      <c r="P81" s="80" t="s">
        <v>212</v>
      </c>
      <c r="Q81" s="80" t="s">
        <v>689</v>
      </c>
      <c r="R81" s="80" t="s">
        <v>461</v>
      </c>
      <c r="S81" s="80" t="s">
        <v>923</v>
      </c>
      <c r="T81" s="82" t="str">
        <f>HYPERLINK("http://www.youtube.com/channel/UCFp1vaKzpfvoGai0vE5VJ0w")</f>
        <v>http://www.youtube.com/channel/UCFp1vaKzpfvoGai0vE5VJ0w</v>
      </c>
      <c r="U81" s="80" t="s">
        <v>1097</v>
      </c>
      <c r="V81" s="80" t="s">
        <v>1200</v>
      </c>
      <c r="W81" s="82" t="str">
        <f>HYPERLINK("https://www.youtube.com/watch?v=oN6mOmEruOQ")</f>
        <v>https://www.youtube.com/watch?v=oN6mOmEruOQ</v>
      </c>
      <c r="X81" s="80" t="s">
        <v>213</v>
      </c>
      <c r="Y81" s="80">
        <v>0</v>
      </c>
      <c r="Z81" s="84">
        <v>44000.618842592594</v>
      </c>
      <c r="AA81" s="84">
        <v>44000.618842592594</v>
      </c>
      <c r="AB81" s="80"/>
      <c r="AC81" s="80"/>
      <c r="AD81" s="80"/>
      <c r="AE81" s="80">
        <v>1</v>
      </c>
      <c r="AF81" s="79" t="str">
        <f>REPLACE(INDEX(GroupVertices[Group],MATCH(Edges[[#This Row],[Vertex 1]],GroupVertices[Vertex],0)),1,1,"")</f>
        <v>2</v>
      </c>
      <c r="AG81" s="79" t="str">
        <f>REPLACE(INDEX(GroupVertices[Group],MATCH(Edges[[#This Row],[Vertex 2]],GroupVertices[Vertex],0)),1,1,"")</f>
        <v>2</v>
      </c>
      <c r="AH81" s="34"/>
      <c r="AI81" s="34"/>
      <c r="AJ81" s="34"/>
      <c r="AK81" s="34"/>
      <c r="AL81" s="34"/>
      <c r="AM81" s="34"/>
      <c r="AN81" s="34"/>
      <c r="AO81" s="34"/>
      <c r="AP81" s="34"/>
    </row>
    <row r="82" spans="1:42" ht="15">
      <c r="A82" s="65" t="s">
        <v>494</v>
      </c>
      <c r="B82" s="65" t="s">
        <v>461</v>
      </c>
      <c r="C82" s="66" t="s">
        <v>1853</v>
      </c>
      <c r="D82" s="67">
        <v>2</v>
      </c>
      <c r="E82" s="68"/>
      <c r="F82" s="69">
        <v>32</v>
      </c>
      <c r="G82" s="66"/>
      <c r="H82" s="70"/>
      <c r="I82" s="71"/>
      <c r="J82" s="71"/>
      <c r="K82" s="34" t="s">
        <v>66</v>
      </c>
      <c r="L82" s="78">
        <v>82</v>
      </c>
      <c r="M82" s="78"/>
      <c r="N82" s="73"/>
      <c r="O82" s="80" t="s">
        <v>210</v>
      </c>
      <c r="P82" s="80" t="s">
        <v>196</v>
      </c>
      <c r="Q82" s="80" t="s">
        <v>690</v>
      </c>
      <c r="R82" s="80" t="s">
        <v>494</v>
      </c>
      <c r="S82" s="80" t="s">
        <v>956</v>
      </c>
      <c r="T82" s="82" t="str">
        <f>HYPERLINK("http://www.youtube.com/channel/UCYz5XRS6e7daa20C_qDCFRQ")</f>
        <v>http://www.youtube.com/channel/UCYz5XRS6e7daa20C_qDCFRQ</v>
      </c>
      <c r="U82" s="80"/>
      <c r="V82" s="80" t="s">
        <v>1200</v>
      </c>
      <c r="W82" s="82" t="str">
        <f>HYPERLINK("https://www.youtube.com/watch?v=oN6mOmEruOQ")</f>
        <v>https://www.youtube.com/watch?v=oN6mOmEruOQ</v>
      </c>
      <c r="X82" s="80" t="s">
        <v>213</v>
      </c>
      <c r="Y82" s="80">
        <v>2</v>
      </c>
      <c r="Z82" s="84">
        <v>43999.71761574074</v>
      </c>
      <c r="AA82" s="84">
        <v>43999.71761574074</v>
      </c>
      <c r="AB82" s="80"/>
      <c r="AC82" s="80"/>
      <c r="AD82" s="80"/>
      <c r="AE82" s="80">
        <v>1</v>
      </c>
      <c r="AF82" s="79" t="str">
        <f>REPLACE(INDEX(GroupVertices[Group],MATCH(Edges[[#This Row],[Vertex 1]],GroupVertices[Vertex],0)),1,1,"")</f>
        <v>2</v>
      </c>
      <c r="AG82" s="79" t="str">
        <f>REPLACE(INDEX(GroupVertices[Group],MATCH(Edges[[#This Row],[Vertex 2]],GroupVertices[Vertex],0)),1,1,"")</f>
        <v>2</v>
      </c>
      <c r="AH82" s="34"/>
      <c r="AI82" s="34"/>
      <c r="AJ82" s="34"/>
      <c r="AK82" s="34"/>
      <c r="AL82" s="34"/>
      <c r="AM82" s="34"/>
      <c r="AN82" s="34"/>
      <c r="AO82" s="34"/>
      <c r="AP82" s="34"/>
    </row>
    <row r="83" spans="1:42" ht="15">
      <c r="A83" s="65" t="s">
        <v>461</v>
      </c>
      <c r="B83" s="65" t="s">
        <v>495</v>
      </c>
      <c r="C83" s="66" t="s">
        <v>1853</v>
      </c>
      <c r="D83" s="67">
        <v>2</v>
      </c>
      <c r="E83" s="68"/>
      <c r="F83" s="69">
        <v>32</v>
      </c>
      <c r="G83" s="66"/>
      <c r="H83" s="70"/>
      <c r="I83" s="71"/>
      <c r="J83" s="71"/>
      <c r="K83" s="34" t="s">
        <v>66</v>
      </c>
      <c r="L83" s="78">
        <v>83</v>
      </c>
      <c r="M83" s="78"/>
      <c r="N83" s="73"/>
      <c r="O83" s="80" t="s">
        <v>211</v>
      </c>
      <c r="P83" s="80" t="s">
        <v>212</v>
      </c>
      <c r="Q83" s="80" t="s">
        <v>691</v>
      </c>
      <c r="R83" s="80" t="s">
        <v>461</v>
      </c>
      <c r="S83" s="80" t="s">
        <v>923</v>
      </c>
      <c r="T83" s="82" t="str">
        <f>HYPERLINK("http://www.youtube.com/channel/UCFp1vaKzpfvoGai0vE5VJ0w")</f>
        <v>http://www.youtube.com/channel/UCFp1vaKzpfvoGai0vE5VJ0w</v>
      </c>
      <c r="U83" s="80" t="s">
        <v>1098</v>
      </c>
      <c r="V83" s="80" t="s">
        <v>1200</v>
      </c>
      <c r="W83" s="82" t="str">
        <f>HYPERLINK("https://www.youtube.com/watch?v=oN6mOmEruOQ")</f>
        <v>https://www.youtube.com/watch?v=oN6mOmEruOQ</v>
      </c>
      <c r="X83" s="80" t="s">
        <v>213</v>
      </c>
      <c r="Y83" s="80">
        <v>0</v>
      </c>
      <c r="Z83" s="84">
        <v>44000.61733796296</v>
      </c>
      <c r="AA83" s="84">
        <v>44000.61733796296</v>
      </c>
      <c r="AB83" s="80"/>
      <c r="AC83" s="80"/>
      <c r="AD83" s="80"/>
      <c r="AE83" s="80">
        <v>1</v>
      </c>
      <c r="AF83" s="79" t="str">
        <f>REPLACE(INDEX(GroupVertices[Group],MATCH(Edges[[#This Row],[Vertex 1]],GroupVertices[Vertex],0)),1,1,"")</f>
        <v>2</v>
      </c>
      <c r="AG83" s="79" t="str">
        <f>REPLACE(INDEX(GroupVertices[Group],MATCH(Edges[[#This Row],[Vertex 2]],GroupVertices[Vertex],0)),1,1,"")</f>
        <v>2</v>
      </c>
      <c r="AH83" s="34"/>
      <c r="AI83" s="34"/>
      <c r="AJ83" s="34"/>
      <c r="AK83" s="34"/>
      <c r="AL83" s="34"/>
      <c r="AM83" s="34"/>
      <c r="AN83" s="34"/>
      <c r="AO83" s="34"/>
      <c r="AP83" s="34"/>
    </row>
    <row r="84" spans="1:42" ht="15">
      <c r="A84" s="65" t="s">
        <v>495</v>
      </c>
      <c r="B84" s="65" t="s">
        <v>461</v>
      </c>
      <c r="C84" s="66" t="s">
        <v>1853</v>
      </c>
      <c r="D84" s="67">
        <v>2</v>
      </c>
      <c r="E84" s="68"/>
      <c r="F84" s="69">
        <v>32</v>
      </c>
      <c r="G84" s="66"/>
      <c r="H84" s="70"/>
      <c r="I84" s="71"/>
      <c r="J84" s="71"/>
      <c r="K84" s="34" t="s">
        <v>66</v>
      </c>
      <c r="L84" s="78">
        <v>84</v>
      </c>
      <c r="M84" s="78"/>
      <c r="N84" s="73"/>
      <c r="O84" s="80" t="s">
        <v>210</v>
      </c>
      <c r="P84" s="80" t="s">
        <v>196</v>
      </c>
      <c r="Q84" s="80" t="s">
        <v>692</v>
      </c>
      <c r="R84" s="80" t="s">
        <v>495</v>
      </c>
      <c r="S84" s="80" t="s">
        <v>957</v>
      </c>
      <c r="T84" s="82" t="str">
        <f>HYPERLINK("http://www.youtube.com/channel/UCClNIl6RGNgDd-Iq2M5yNWQ")</f>
        <v>http://www.youtube.com/channel/UCClNIl6RGNgDd-Iq2M5yNWQ</v>
      </c>
      <c r="U84" s="80"/>
      <c r="V84" s="80" t="s">
        <v>1200</v>
      </c>
      <c r="W84" s="82" t="str">
        <f>HYPERLINK("https://www.youtube.com/watch?v=oN6mOmEruOQ")</f>
        <v>https://www.youtube.com/watch?v=oN6mOmEruOQ</v>
      </c>
      <c r="X84" s="80" t="s">
        <v>213</v>
      </c>
      <c r="Y84" s="80">
        <v>1</v>
      </c>
      <c r="Z84" s="84">
        <v>44000.323217592595</v>
      </c>
      <c r="AA84" s="84">
        <v>44000.323217592595</v>
      </c>
      <c r="AB84" s="80"/>
      <c r="AC84" s="80"/>
      <c r="AD84" s="80"/>
      <c r="AE84" s="80">
        <v>1</v>
      </c>
      <c r="AF84" s="79" t="str">
        <f>REPLACE(INDEX(GroupVertices[Group],MATCH(Edges[[#This Row],[Vertex 1]],GroupVertices[Vertex],0)),1,1,"")</f>
        <v>2</v>
      </c>
      <c r="AG84" s="79" t="str">
        <f>REPLACE(INDEX(GroupVertices[Group],MATCH(Edges[[#This Row],[Vertex 2]],GroupVertices[Vertex],0)),1,1,"")</f>
        <v>2</v>
      </c>
      <c r="AH84" s="34"/>
      <c r="AI84" s="34"/>
      <c r="AJ84" s="34"/>
      <c r="AK84" s="34"/>
      <c r="AL84" s="34"/>
      <c r="AM84" s="34"/>
      <c r="AN84" s="34"/>
      <c r="AO84" s="34"/>
      <c r="AP84" s="34"/>
    </row>
    <row r="85" spans="1:42" ht="15">
      <c r="A85" s="65" t="s">
        <v>461</v>
      </c>
      <c r="B85" s="65" t="s">
        <v>496</v>
      </c>
      <c r="C85" s="66" t="s">
        <v>1853</v>
      </c>
      <c r="D85" s="67">
        <v>2</v>
      </c>
      <c r="E85" s="68"/>
      <c r="F85" s="69">
        <v>32</v>
      </c>
      <c r="G85" s="66"/>
      <c r="H85" s="70"/>
      <c r="I85" s="71"/>
      <c r="J85" s="71"/>
      <c r="K85" s="34" t="s">
        <v>66</v>
      </c>
      <c r="L85" s="78">
        <v>85</v>
      </c>
      <c r="M85" s="78"/>
      <c r="N85" s="73"/>
      <c r="O85" s="80" t="s">
        <v>211</v>
      </c>
      <c r="P85" s="80" t="s">
        <v>212</v>
      </c>
      <c r="Q85" s="80" t="s">
        <v>693</v>
      </c>
      <c r="R85" s="80" t="s">
        <v>461</v>
      </c>
      <c r="S85" s="80" t="s">
        <v>923</v>
      </c>
      <c r="T85" s="82" t="str">
        <f>HYPERLINK("http://www.youtube.com/channel/UCFp1vaKzpfvoGai0vE5VJ0w")</f>
        <v>http://www.youtube.com/channel/UCFp1vaKzpfvoGai0vE5VJ0w</v>
      </c>
      <c r="U85" s="80" t="s">
        <v>1099</v>
      </c>
      <c r="V85" s="80" t="s">
        <v>1200</v>
      </c>
      <c r="W85" s="82" t="str">
        <f>HYPERLINK("https://www.youtube.com/watch?v=oN6mOmEruOQ")</f>
        <v>https://www.youtube.com/watch?v=oN6mOmEruOQ</v>
      </c>
      <c r="X85" s="80" t="s">
        <v>213</v>
      </c>
      <c r="Y85" s="80">
        <v>0</v>
      </c>
      <c r="Z85" s="84">
        <v>44000.61717592592</v>
      </c>
      <c r="AA85" s="84">
        <v>44000.61717592592</v>
      </c>
      <c r="AB85" s="80"/>
      <c r="AC85" s="80"/>
      <c r="AD85" s="80"/>
      <c r="AE85" s="80">
        <v>1</v>
      </c>
      <c r="AF85" s="79" t="str">
        <f>REPLACE(INDEX(GroupVertices[Group],MATCH(Edges[[#This Row],[Vertex 1]],GroupVertices[Vertex],0)),1,1,"")</f>
        <v>2</v>
      </c>
      <c r="AG85" s="79" t="str">
        <f>REPLACE(INDEX(GroupVertices[Group],MATCH(Edges[[#This Row],[Vertex 2]],GroupVertices[Vertex],0)),1,1,"")</f>
        <v>2</v>
      </c>
      <c r="AH85" s="34"/>
      <c r="AI85" s="34"/>
      <c r="AJ85" s="34"/>
      <c r="AK85" s="34"/>
      <c r="AL85" s="34"/>
      <c r="AM85" s="34"/>
      <c r="AN85" s="34"/>
      <c r="AO85" s="34"/>
      <c r="AP85" s="34"/>
    </row>
    <row r="86" spans="1:42" ht="15">
      <c r="A86" s="65" t="s">
        <v>496</v>
      </c>
      <c r="B86" s="65" t="s">
        <v>496</v>
      </c>
      <c r="C86" s="66" t="s">
        <v>1853</v>
      </c>
      <c r="D86" s="67">
        <v>2</v>
      </c>
      <c r="E86" s="68"/>
      <c r="F86" s="69">
        <v>32</v>
      </c>
      <c r="G86" s="66"/>
      <c r="H86" s="70"/>
      <c r="I86" s="71"/>
      <c r="J86" s="71"/>
      <c r="K86" s="34" t="s">
        <v>65</v>
      </c>
      <c r="L86" s="78">
        <v>86</v>
      </c>
      <c r="M86" s="78"/>
      <c r="N86" s="73"/>
      <c r="O86" s="80" t="s">
        <v>211</v>
      </c>
      <c r="P86" s="80" t="s">
        <v>212</v>
      </c>
      <c r="Q86" s="80" t="s">
        <v>694</v>
      </c>
      <c r="R86" s="80" t="s">
        <v>496</v>
      </c>
      <c r="S86" s="80" t="s">
        <v>958</v>
      </c>
      <c r="T86" s="82" t="str">
        <f>HYPERLINK("http://www.youtube.com/channel/UCgbwVKjs7REXm4t2I79THgw")</f>
        <v>http://www.youtube.com/channel/UCgbwVKjs7REXm4t2I79THgw</v>
      </c>
      <c r="U86" s="80" t="s">
        <v>1099</v>
      </c>
      <c r="V86" s="80" t="s">
        <v>1200</v>
      </c>
      <c r="W86" s="82" t="str">
        <f>HYPERLINK("https://www.youtube.com/watch?v=oN6mOmEruOQ")</f>
        <v>https://www.youtube.com/watch?v=oN6mOmEruOQ</v>
      </c>
      <c r="X86" s="80" t="s">
        <v>213</v>
      </c>
      <c r="Y86" s="80">
        <v>0</v>
      </c>
      <c r="Z86" s="84">
        <v>44000.632372685184</v>
      </c>
      <c r="AA86" s="84">
        <v>44000.632372685184</v>
      </c>
      <c r="AB86" s="80"/>
      <c r="AC86" s="80"/>
      <c r="AD86" s="80"/>
      <c r="AE86" s="80">
        <v>1</v>
      </c>
      <c r="AF86" s="79" t="str">
        <f>REPLACE(INDEX(GroupVertices[Group],MATCH(Edges[[#This Row],[Vertex 1]],GroupVertices[Vertex],0)),1,1,"")</f>
        <v>2</v>
      </c>
      <c r="AG86" s="79" t="str">
        <f>REPLACE(INDEX(GroupVertices[Group],MATCH(Edges[[#This Row],[Vertex 2]],GroupVertices[Vertex],0)),1,1,"")</f>
        <v>2</v>
      </c>
      <c r="AH86" s="34"/>
      <c r="AI86" s="34"/>
      <c r="AJ86" s="34"/>
      <c r="AK86" s="34"/>
      <c r="AL86" s="34"/>
      <c r="AM86" s="34"/>
      <c r="AN86" s="34"/>
      <c r="AO86" s="34"/>
      <c r="AP86" s="34"/>
    </row>
    <row r="87" spans="1:42" ht="15">
      <c r="A87" s="65" t="s">
        <v>496</v>
      </c>
      <c r="B87" s="65" t="s">
        <v>461</v>
      </c>
      <c r="C87" s="66" t="s">
        <v>1853</v>
      </c>
      <c r="D87" s="67">
        <v>2</v>
      </c>
      <c r="E87" s="68"/>
      <c r="F87" s="69">
        <v>32</v>
      </c>
      <c r="G87" s="66"/>
      <c r="H87" s="70"/>
      <c r="I87" s="71"/>
      <c r="J87" s="71"/>
      <c r="K87" s="34" t="s">
        <v>66</v>
      </c>
      <c r="L87" s="78">
        <v>87</v>
      </c>
      <c r="M87" s="78"/>
      <c r="N87" s="73"/>
      <c r="O87" s="80" t="s">
        <v>210</v>
      </c>
      <c r="P87" s="80" t="s">
        <v>196</v>
      </c>
      <c r="Q87" s="80" t="s">
        <v>695</v>
      </c>
      <c r="R87" s="80" t="s">
        <v>496</v>
      </c>
      <c r="S87" s="80" t="s">
        <v>958</v>
      </c>
      <c r="T87" s="82" t="str">
        <f>HYPERLINK("http://www.youtube.com/channel/UCgbwVKjs7REXm4t2I79THgw")</f>
        <v>http://www.youtube.com/channel/UCgbwVKjs7REXm4t2I79THgw</v>
      </c>
      <c r="U87" s="80"/>
      <c r="V87" s="80" t="s">
        <v>1200</v>
      </c>
      <c r="W87" s="82" t="str">
        <f>HYPERLINK("https://www.youtube.com/watch?v=oN6mOmEruOQ")</f>
        <v>https://www.youtube.com/watch?v=oN6mOmEruOQ</v>
      </c>
      <c r="X87" s="80" t="s">
        <v>213</v>
      </c>
      <c r="Y87" s="80">
        <v>1</v>
      </c>
      <c r="Z87" s="84">
        <v>44000.36849537037</v>
      </c>
      <c r="AA87" s="84">
        <v>44000.36849537037</v>
      </c>
      <c r="AB87" s="80"/>
      <c r="AC87" s="80"/>
      <c r="AD87" s="80"/>
      <c r="AE87" s="80">
        <v>1</v>
      </c>
      <c r="AF87" s="79" t="str">
        <f>REPLACE(INDEX(GroupVertices[Group],MATCH(Edges[[#This Row],[Vertex 1]],GroupVertices[Vertex],0)),1,1,"")</f>
        <v>2</v>
      </c>
      <c r="AG87" s="79" t="str">
        <f>REPLACE(INDEX(GroupVertices[Group],MATCH(Edges[[#This Row],[Vertex 2]],GroupVertices[Vertex],0)),1,1,"")</f>
        <v>2</v>
      </c>
      <c r="AH87" s="34"/>
      <c r="AI87" s="34"/>
      <c r="AJ87" s="34"/>
      <c r="AK87" s="34"/>
      <c r="AL87" s="34"/>
      <c r="AM87" s="34"/>
      <c r="AN87" s="34"/>
      <c r="AO87" s="34"/>
      <c r="AP87" s="34"/>
    </row>
    <row r="88" spans="1:42" ht="15">
      <c r="A88" s="65" t="s">
        <v>461</v>
      </c>
      <c r="B88" s="65" t="s">
        <v>497</v>
      </c>
      <c r="C88" s="66" t="s">
        <v>1853</v>
      </c>
      <c r="D88" s="67">
        <v>2</v>
      </c>
      <c r="E88" s="68"/>
      <c r="F88" s="69">
        <v>32</v>
      </c>
      <c r="G88" s="66"/>
      <c r="H88" s="70"/>
      <c r="I88" s="71"/>
      <c r="J88" s="71"/>
      <c r="K88" s="34" t="s">
        <v>66</v>
      </c>
      <c r="L88" s="78">
        <v>88</v>
      </c>
      <c r="M88" s="78"/>
      <c r="N88" s="73"/>
      <c r="O88" s="80" t="s">
        <v>211</v>
      </c>
      <c r="P88" s="80" t="s">
        <v>212</v>
      </c>
      <c r="Q88" s="80" t="s">
        <v>696</v>
      </c>
      <c r="R88" s="80" t="s">
        <v>461</v>
      </c>
      <c r="S88" s="80" t="s">
        <v>923</v>
      </c>
      <c r="T88" s="82" t="str">
        <f>HYPERLINK("http://www.youtube.com/channel/UCFp1vaKzpfvoGai0vE5VJ0w")</f>
        <v>http://www.youtube.com/channel/UCFp1vaKzpfvoGai0vE5VJ0w</v>
      </c>
      <c r="U88" s="80" t="s">
        <v>1100</v>
      </c>
      <c r="V88" s="80" t="s">
        <v>1200</v>
      </c>
      <c r="W88" s="82" t="str">
        <f>HYPERLINK("https://www.youtube.com/watch?v=oN6mOmEruOQ")</f>
        <v>https://www.youtube.com/watch?v=oN6mOmEruOQ</v>
      </c>
      <c r="X88" s="80" t="s">
        <v>213</v>
      </c>
      <c r="Y88" s="80">
        <v>0</v>
      </c>
      <c r="Z88" s="84">
        <v>44002.97869212963</v>
      </c>
      <c r="AA88" s="84">
        <v>44002.97869212963</v>
      </c>
      <c r="AB88" s="80"/>
      <c r="AC88" s="80"/>
      <c r="AD88" s="80"/>
      <c r="AE88" s="80">
        <v>1</v>
      </c>
      <c r="AF88" s="79" t="str">
        <f>REPLACE(INDEX(GroupVertices[Group],MATCH(Edges[[#This Row],[Vertex 1]],GroupVertices[Vertex],0)),1,1,"")</f>
        <v>2</v>
      </c>
      <c r="AG88" s="79" t="str">
        <f>REPLACE(INDEX(GroupVertices[Group],MATCH(Edges[[#This Row],[Vertex 2]],GroupVertices[Vertex],0)),1,1,"")</f>
        <v>2</v>
      </c>
      <c r="AH88" s="34"/>
      <c r="AI88" s="34"/>
      <c r="AJ88" s="34"/>
      <c r="AK88" s="34"/>
      <c r="AL88" s="34"/>
      <c r="AM88" s="34"/>
      <c r="AN88" s="34"/>
      <c r="AO88" s="34"/>
      <c r="AP88" s="34"/>
    </row>
    <row r="89" spans="1:42" ht="15">
      <c r="A89" s="65" t="s">
        <v>497</v>
      </c>
      <c r="B89" s="65" t="s">
        <v>461</v>
      </c>
      <c r="C89" s="66" t="s">
        <v>1853</v>
      </c>
      <c r="D89" s="67">
        <v>2</v>
      </c>
      <c r="E89" s="68"/>
      <c r="F89" s="69">
        <v>32</v>
      </c>
      <c r="G89" s="66"/>
      <c r="H89" s="70"/>
      <c r="I89" s="71"/>
      <c r="J89" s="71"/>
      <c r="K89" s="34" t="s">
        <v>66</v>
      </c>
      <c r="L89" s="78">
        <v>89</v>
      </c>
      <c r="M89" s="78"/>
      <c r="N89" s="73"/>
      <c r="O89" s="80" t="s">
        <v>210</v>
      </c>
      <c r="P89" s="80" t="s">
        <v>196</v>
      </c>
      <c r="Q89" s="80" t="s">
        <v>697</v>
      </c>
      <c r="R89" s="80" t="s">
        <v>497</v>
      </c>
      <c r="S89" s="80" t="s">
        <v>959</v>
      </c>
      <c r="T89" s="82" t="str">
        <f>HYPERLINK("http://www.youtube.com/channel/UCs9Zw6uGqXK6z3gqHx5xbwA")</f>
        <v>http://www.youtube.com/channel/UCs9Zw6uGqXK6z3gqHx5xbwA</v>
      </c>
      <c r="U89" s="80"/>
      <c r="V89" s="80" t="s">
        <v>1200</v>
      </c>
      <c r="W89" s="82" t="str">
        <f>HYPERLINK("https://www.youtube.com/watch?v=oN6mOmEruOQ")</f>
        <v>https://www.youtube.com/watch?v=oN6mOmEruOQ</v>
      </c>
      <c r="X89" s="80" t="s">
        <v>213</v>
      </c>
      <c r="Y89" s="80">
        <v>0</v>
      </c>
      <c r="Z89" s="84">
        <v>44001.44053240741</v>
      </c>
      <c r="AA89" s="84">
        <v>44001.44053240741</v>
      </c>
      <c r="AB89" s="80"/>
      <c r="AC89" s="80"/>
      <c r="AD89" s="80"/>
      <c r="AE89" s="80">
        <v>1</v>
      </c>
      <c r="AF89" s="79" t="str">
        <f>REPLACE(INDEX(GroupVertices[Group],MATCH(Edges[[#This Row],[Vertex 1]],GroupVertices[Vertex],0)),1,1,"")</f>
        <v>2</v>
      </c>
      <c r="AG89" s="79" t="str">
        <f>REPLACE(INDEX(GroupVertices[Group],MATCH(Edges[[#This Row],[Vertex 2]],GroupVertices[Vertex],0)),1,1,"")</f>
        <v>2</v>
      </c>
      <c r="AH89" s="34"/>
      <c r="AI89" s="34"/>
      <c r="AJ89" s="34"/>
      <c r="AK89" s="34"/>
      <c r="AL89" s="34"/>
      <c r="AM89" s="34"/>
      <c r="AN89" s="34"/>
      <c r="AO89" s="34"/>
      <c r="AP89" s="34"/>
    </row>
    <row r="90" spans="1:42" ht="15">
      <c r="A90" s="65" t="s">
        <v>461</v>
      </c>
      <c r="B90" s="65" t="s">
        <v>498</v>
      </c>
      <c r="C90" s="66" t="s">
        <v>1853</v>
      </c>
      <c r="D90" s="67">
        <v>2</v>
      </c>
      <c r="E90" s="68"/>
      <c r="F90" s="69">
        <v>32</v>
      </c>
      <c r="G90" s="66"/>
      <c r="H90" s="70"/>
      <c r="I90" s="71"/>
      <c r="J90" s="71"/>
      <c r="K90" s="34" t="s">
        <v>66</v>
      </c>
      <c r="L90" s="78">
        <v>90</v>
      </c>
      <c r="M90" s="78"/>
      <c r="N90" s="73"/>
      <c r="O90" s="80" t="s">
        <v>211</v>
      </c>
      <c r="P90" s="80" t="s">
        <v>212</v>
      </c>
      <c r="Q90" s="80" t="s">
        <v>698</v>
      </c>
      <c r="R90" s="80" t="s">
        <v>461</v>
      </c>
      <c r="S90" s="80" t="s">
        <v>923</v>
      </c>
      <c r="T90" s="82" t="str">
        <f>HYPERLINK("http://www.youtube.com/channel/UCFp1vaKzpfvoGai0vE5VJ0w")</f>
        <v>http://www.youtube.com/channel/UCFp1vaKzpfvoGai0vE5VJ0w</v>
      </c>
      <c r="U90" s="80" t="s">
        <v>1101</v>
      </c>
      <c r="V90" s="80" t="s">
        <v>1200</v>
      </c>
      <c r="W90" s="82" t="str">
        <f>HYPERLINK("https://www.youtube.com/watch?v=oN6mOmEruOQ")</f>
        <v>https://www.youtube.com/watch?v=oN6mOmEruOQ</v>
      </c>
      <c r="X90" s="80" t="s">
        <v>213</v>
      </c>
      <c r="Y90" s="80">
        <v>0</v>
      </c>
      <c r="Z90" s="84">
        <v>44002.974282407406</v>
      </c>
      <c r="AA90" s="84">
        <v>44002.974282407406</v>
      </c>
      <c r="AB90" s="80"/>
      <c r="AC90" s="80"/>
      <c r="AD90" s="80"/>
      <c r="AE90" s="80">
        <v>1</v>
      </c>
      <c r="AF90" s="79" t="str">
        <f>REPLACE(INDEX(GroupVertices[Group],MATCH(Edges[[#This Row],[Vertex 1]],GroupVertices[Vertex],0)),1,1,"")</f>
        <v>2</v>
      </c>
      <c r="AG90" s="79" t="str">
        <f>REPLACE(INDEX(GroupVertices[Group],MATCH(Edges[[#This Row],[Vertex 2]],GroupVertices[Vertex],0)),1,1,"")</f>
        <v>2</v>
      </c>
      <c r="AH90" s="34"/>
      <c r="AI90" s="34"/>
      <c r="AJ90" s="34"/>
      <c r="AK90" s="34"/>
      <c r="AL90" s="34"/>
      <c r="AM90" s="34"/>
      <c r="AN90" s="34"/>
      <c r="AO90" s="34"/>
      <c r="AP90" s="34"/>
    </row>
    <row r="91" spans="1:42" ht="15">
      <c r="A91" s="65" t="s">
        <v>498</v>
      </c>
      <c r="B91" s="65" t="s">
        <v>498</v>
      </c>
      <c r="C91" s="66" t="s">
        <v>1853</v>
      </c>
      <c r="D91" s="67">
        <v>2</v>
      </c>
      <c r="E91" s="68"/>
      <c r="F91" s="69">
        <v>32</v>
      </c>
      <c r="G91" s="66"/>
      <c r="H91" s="70"/>
      <c r="I91" s="71"/>
      <c r="J91" s="71"/>
      <c r="K91" s="34" t="s">
        <v>65</v>
      </c>
      <c r="L91" s="78">
        <v>91</v>
      </c>
      <c r="M91" s="78"/>
      <c r="N91" s="73"/>
      <c r="O91" s="80" t="s">
        <v>211</v>
      </c>
      <c r="P91" s="80" t="s">
        <v>212</v>
      </c>
      <c r="Q91" s="80" t="s">
        <v>699</v>
      </c>
      <c r="R91" s="80" t="s">
        <v>498</v>
      </c>
      <c r="S91" s="80" t="s">
        <v>960</v>
      </c>
      <c r="T91" s="82" t="str">
        <f>HYPERLINK("http://www.youtube.com/channel/UCtiQc0zJFxaNRxiHxcATdBw")</f>
        <v>http://www.youtube.com/channel/UCtiQc0zJFxaNRxiHxcATdBw</v>
      </c>
      <c r="U91" s="80" t="s">
        <v>1101</v>
      </c>
      <c r="V91" s="80" t="s">
        <v>1200</v>
      </c>
      <c r="W91" s="82" t="str">
        <f>HYPERLINK("https://www.youtube.com/watch?v=oN6mOmEruOQ")</f>
        <v>https://www.youtube.com/watch?v=oN6mOmEruOQ</v>
      </c>
      <c r="X91" s="80" t="s">
        <v>213</v>
      </c>
      <c r="Y91" s="80">
        <v>0</v>
      </c>
      <c r="Z91" s="84">
        <v>44002.980833333335</v>
      </c>
      <c r="AA91" s="84">
        <v>44002.98663194444</v>
      </c>
      <c r="AB91" s="80"/>
      <c r="AC91" s="80"/>
      <c r="AD91" s="80"/>
      <c r="AE91" s="80">
        <v>1</v>
      </c>
      <c r="AF91" s="79" t="str">
        <f>REPLACE(INDEX(GroupVertices[Group],MATCH(Edges[[#This Row],[Vertex 1]],GroupVertices[Vertex],0)),1,1,"")</f>
        <v>2</v>
      </c>
      <c r="AG91" s="79" t="str">
        <f>REPLACE(INDEX(GroupVertices[Group],MATCH(Edges[[#This Row],[Vertex 2]],GroupVertices[Vertex],0)),1,1,"")</f>
        <v>2</v>
      </c>
      <c r="AH91" s="34"/>
      <c r="AI91" s="34"/>
      <c r="AJ91" s="34"/>
      <c r="AK91" s="34"/>
      <c r="AL91" s="34"/>
      <c r="AM91" s="34"/>
      <c r="AN91" s="34"/>
      <c r="AO91" s="34"/>
      <c r="AP91" s="34"/>
    </row>
    <row r="92" spans="1:42" ht="15">
      <c r="A92" s="65" t="s">
        <v>498</v>
      </c>
      <c r="B92" s="65" t="s">
        <v>461</v>
      </c>
      <c r="C92" s="66" t="s">
        <v>1853</v>
      </c>
      <c r="D92" s="67">
        <v>2</v>
      </c>
      <c r="E92" s="68"/>
      <c r="F92" s="69">
        <v>32</v>
      </c>
      <c r="G92" s="66"/>
      <c r="H92" s="70"/>
      <c r="I92" s="71"/>
      <c r="J92" s="71"/>
      <c r="K92" s="34" t="s">
        <v>66</v>
      </c>
      <c r="L92" s="78">
        <v>92</v>
      </c>
      <c r="M92" s="78"/>
      <c r="N92" s="73"/>
      <c r="O92" s="80" t="s">
        <v>210</v>
      </c>
      <c r="P92" s="80" t="s">
        <v>196</v>
      </c>
      <c r="Q92" s="80" t="s">
        <v>700</v>
      </c>
      <c r="R92" s="80" t="s">
        <v>498</v>
      </c>
      <c r="S92" s="80" t="s">
        <v>960</v>
      </c>
      <c r="T92" s="82" t="str">
        <f>HYPERLINK("http://www.youtube.com/channel/UCtiQc0zJFxaNRxiHxcATdBw")</f>
        <v>http://www.youtube.com/channel/UCtiQc0zJFxaNRxiHxcATdBw</v>
      </c>
      <c r="U92" s="80"/>
      <c r="V92" s="80" t="s">
        <v>1200</v>
      </c>
      <c r="W92" s="82" t="str">
        <f>HYPERLINK("https://www.youtube.com/watch?v=oN6mOmEruOQ")</f>
        <v>https://www.youtube.com/watch?v=oN6mOmEruOQ</v>
      </c>
      <c r="X92" s="80" t="s">
        <v>213</v>
      </c>
      <c r="Y92" s="80">
        <v>0</v>
      </c>
      <c r="Z92" s="84">
        <v>44002.645</v>
      </c>
      <c r="AA92" s="84">
        <v>44002.64891203704</v>
      </c>
      <c r="AB92" s="80"/>
      <c r="AC92" s="80"/>
      <c r="AD92" s="80"/>
      <c r="AE92" s="80">
        <v>1</v>
      </c>
      <c r="AF92" s="79" t="str">
        <f>REPLACE(INDEX(GroupVertices[Group],MATCH(Edges[[#This Row],[Vertex 1]],GroupVertices[Vertex],0)),1,1,"")</f>
        <v>2</v>
      </c>
      <c r="AG92" s="79" t="str">
        <f>REPLACE(INDEX(GroupVertices[Group],MATCH(Edges[[#This Row],[Vertex 2]],GroupVertices[Vertex],0)),1,1,"")</f>
        <v>2</v>
      </c>
      <c r="AH92" s="34"/>
      <c r="AI92" s="34"/>
      <c r="AJ92" s="34"/>
      <c r="AK92" s="34"/>
      <c r="AL92" s="34"/>
      <c r="AM92" s="34"/>
      <c r="AN92" s="34"/>
      <c r="AO92" s="34"/>
      <c r="AP92" s="34"/>
    </row>
    <row r="93" spans="1:42" ht="15">
      <c r="A93" s="65" t="s">
        <v>499</v>
      </c>
      <c r="B93" s="65" t="s">
        <v>500</v>
      </c>
      <c r="C93" s="66" t="s">
        <v>1853</v>
      </c>
      <c r="D93" s="67">
        <v>2</v>
      </c>
      <c r="E93" s="68"/>
      <c r="F93" s="69">
        <v>32</v>
      </c>
      <c r="G93" s="66"/>
      <c r="H93" s="70"/>
      <c r="I93" s="71"/>
      <c r="J93" s="71"/>
      <c r="K93" s="34" t="s">
        <v>66</v>
      </c>
      <c r="L93" s="78">
        <v>93</v>
      </c>
      <c r="M93" s="78"/>
      <c r="N93" s="73"/>
      <c r="O93" s="80" t="s">
        <v>211</v>
      </c>
      <c r="P93" s="80" t="s">
        <v>212</v>
      </c>
      <c r="Q93" s="80" t="s">
        <v>701</v>
      </c>
      <c r="R93" s="80" t="s">
        <v>499</v>
      </c>
      <c r="S93" s="80" t="s">
        <v>961</v>
      </c>
      <c r="T93" s="82" t="str">
        <f>HYPERLINK("http://www.youtube.com/channel/UCy2rBgj4M1tzK-urTZ28zcA")</f>
        <v>http://www.youtube.com/channel/UCy2rBgj4M1tzK-urTZ28zcA</v>
      </c>
      <c r="U93" s="80" t="s">
        <v>1102</v>
      </c>
      <c r="V93" s="80" t="s">
        <v>1201</v>
      </c>
      <c r="W93" s="82" t="str">
        <f>HYPERLINK("https://www.youtube.com/watch?v=iveCss_hzDo")</f>
        <v>https://www.youtube.com/watch?v=iveCss_hzDo</v>
      </c>
      <c r="X93" s="80" t="s">
        <v>213</v>
      </c>
      <c r="Y93" s="80">
        <v>0</v>
      </c>
      <c r="Z93" s="84">
        <v>44000.185532407406</v>
      </c>
      <c r="AA93" s="84">
        <v>44000.185532407406</v>
      </c>
      <c r="AB93" s="80"/>
      <c r="AC93" s="80"/>
      <c r="AD93" s="80"/>
      <c r="AE93" s="80">
        <v>1</v>
      </c>
      <c r="AF93" s="79" t="str">
        <f>REPLACE(INDEX(GroupVertices[Group],MATCH(Edges[[#This Row],[Vertex 1]],GroupVertices[Vertex],0)),1,1,"")</f>
        <v>13</v>
      </c>
      <c r="AG93" s="79" t="str">
        <f>REPLACE(INDEX(GroupVertices[Group],MATCH(Edges[[#This Row],[Vertex 2]],GroupVertices[Vertex],0)),1,1,"")</f>
        <v>13</v>
      </c>
      <c r="AH93" s="34"/>
      <c r="AI93" s="34"/>
      <c r="AJ93" s="34"/>
      <c r="AK93" s="34"/>
      <c r="AL93" s="34"/>
      <c r="AM93" s="34"/>
      <c r="AN93" s="34"/>
      <c r="AO93" s="34"/>
      <c r="AP93" s="34"/>
    </row>
    <row r="94" spans="1:42" ht="15">
      <c r="A94" s="65" t="s">
        <v>500</v>
      </c>
      <c r="B94" s="65" t="s">
        <v>499</v>
      </c>
      <c r="C94" s="66" t="s">
        <v>1853</v>
      </c>
      <c r="D94" s="67">
        <v>2</v>
      </c>
      <c r="E94" s="68"/>
      <c r="F94" s="69">
        <v>32</v>
      </c>
      <c r="G94" s="66"/>
      <c r="H94" s="70"/>
      <c r="I94" s="71"/>
      <c r="J94" s="71"/>
      <c r="K94" s="34" t="s">
        <v>66</v>
      </c>
      <c r="L94" s="78">
        <v>94</v>
      </c>
      <c r="M94" s="78"/>
      <c r="N94" s="73"/>
      <c r="O94" s="80" t="s">
        <v>210</v>
      </c>
      <c r="P94" s="80" t="s">
        <v>196</v>
      </c>
      <c r="Q94" s="80" t="s">
        <v>702</v>
      </c>
      <c r="R94" s="80" t="s">
        <v>500</v>
      </c>
      <c r="S94" s="80" t="s">
        <v>962</v>
      </c>
      <c r="T94" s="82" t="str">
        <f>HYPERLINK("http://www.youtube.com/channel/UCAVJ-HHJHIz38ZUpqPX3B9w")</f>
        <v>http://www.youtube.com/channel/UCAVJ-HHJHIz38ZUpqPX3B9w</v>
      </c>
      <c r="U94" s="80"/>
      <c r="V94" s="80" t="s">
        <v>1201</v>
      </c>
      <c r="W94" s="82" t="str">
        <f>HYPERLINK("https://www.youtube.com/watch?v=iveCss_hzDo")</f>
        <v>https://www.youtube.com/watch?v=iveCss_hzDo</v>
      </c>
      <c r="X94" s="80" t="s">
        <v>213</v>
      </c>
      <c r="Y94" s="80">
        <v>3</v>
      </c>
      <c r="Z94" s="84">
        <v>43999.03729166667</v>
      </c>
      <c r="AA94" s="84">
        <v>43999.03729166667</v>
      </c>
      <c r="AB94" s="80"/>
      <c r="AC94" s="80"/>
      <c r="AD94" s="80"/>
      <c r="AE94" s="80">
        <v>1</v>
      </c>
      <c r="AF94" s="79" t="str">
        <f>REPLACE(INDEX(GroupVertices[Group],MATCH(Edges[[#This Row],[Vertex 1]],GroupVertices[Vertex],0)),1,1,"")</f>
        <v>13</v>
      </c>
      <c r="AG94" s="79" t="str">
        <f>REPLACE(INDEX(GroupVertices[Group],MATCH(Edges[[#This Row],[Vertex 2]],GroupVertices[Vertex],0)),1,1,"")</f>
        <v>13</v>
      </c>
      <c r="AH94" s="34"/>
      <c r="AI94" s="34"/>
      <c r="AJ94" s="34"/>
      <c r="AK94" s="34"/>
      <c r="AL94" s="34"/>
      <c r="AM94" s="34"/>
      <c r="AN94" s="34"/>
      <c r="AO94" s="34"/>
      <c r="AP94" s="34"/>
    </row>
    <row r="95" spans="1:42" ht="15">
      <c r="A95" s="65" t="s">
        <v>499</v>
      </c>
      <c r="B95" s="65" t="s">
        <v>501</v>
      </c>
      <c r="C95" s="66" t="s">
        <v>1853</v>
      </c>
      <c r="D95" s="67">
        <v>2</v>
      </c>
      <c r="E95" s="68"/>
      <c r="F95" s="69">
        <v>32</v>
      </c>
      <c r="G95" s="66"/>
      <c r="H95" s="70"/>
      <c r="I95" s="71"/>
      <c r="J95" s="71"/>
      <c r="K95" s="34" t="s">
        <v>66</v>
      </c>
      <c r="L95" s="78">
        <v>95</v>
      </c>
      <c r="M95" s="78"/>
      <c r="N95" s="73"/>
      <c r="O95" s="80" t="s">
        <v>211</v>
      </c>
      <c r="P95" s="80" t="s">
        <v>212</v>
      </c>
      <c r="Q95" s="80" t="s">
        <v>703</v>
      </c>
      <c r="R95" s="80" t="s">
        <v>499</v>
      </c>
      <c r="S95" s="80" t="s">
        <v>961</v>
      </c>
      <c r="T95" s="82" t="str">
        <f>HYPERLINK("http://www.youtube.com/channel/UCy2rBgj4M1tzK-urTZ28zcA")</f>
        <v>http://www.youtube.com/channel/UCy2rBgj4M1tzK-urTZ28zcA</v>
      </c>
      <c r="U95" s="80" t="s">
        <v>1103</v>
      </c>
      <c r="V95" s="80" t="s">
        <v>1201</v>
      </c>
      <c r="W95" s="82" t="str">
        <f>HYPERLINK("https://www.youtube.com/watch?v=iveCss_hzDo")</f>
        <v>https://www.youtube.com/watch?v=iveCss_hzDo</v>
      </c>
      <c r="X95" s="80" t="s">
        <v>213</v>
      </c>
      <c r="Y95" s="80">
        <v>0</v>
      </c>
      <c r="Z95" s="84">
        <v>44000.18375</v>
      </c>
      <c r="AA95" s="84">
        <v>44000.18375</v>
      </c>
      <c r="AB95" s="80"/>
      <c r="AC95" s="80"/>
      <c r="AD95" s="80"/>
      <c r="AE95" s="80">
        <v>1</v>
      </c>
      <c r="AF95" s="79" t="str">
        <f>REPLACE(INDEX(GroupVertices[Group],MATCH(Edges[[#This Row],[Vertex 1]],GroupVertices[Vertex],0)),1,1,"")</f>
        <v>13</v>
      </c>
      <c r="AG95" s="79" t="str">
        <f>REPLACE(INDEX(GroupVertices[Group],MATCH(Edges[[#This Row],[Vertex 2]],GroupVertices[Vertex],0)),1,1,"")</f>
        <v>13</v>
      </c>
      <c r="AH95" s="34"/>
      <c r="AI95" s="34"/>
      <c r="AJ95" s="34"/>
      <c r="AK95" s="34"/>
      <c r="AL95" s="34"/>
      <c r="AM95" s="34"/>
      <c r="AN95" s="34"/>
      <c r="AO95" s="34"/>
      <c r="AP95" s="34"/>
    </row>
    <row r="96" spans="1:42" ht="15">
      <c r="A96" s="65" t="s">
        <v>501</v>
      </c>
      <c r="B96" s="65" t="s">
        <v>499</v>
      </c>
      <c r="C96" s="66" t="s">
        <v>1853</v>
      </c>
      <c r="D96" s="67">
        <v>2</v>
      </c>
      <c r="E96" s="68"/>
      <c r="F96" s="69">
        <v>32</v>
      </c>
      <c r="G96" s="66"/>
      <c r="H96" s="70"/>
      <c r="I96" s="71"/>
      <c r="J96" s="71"/>
      <c r="K96" s="34" t="s">
        <v>66</v>
      </c>
      <c r="L96" s="78">
        <v>96</v>
      </c>
      <c r="M96" s="78"/>
      <c r="N96" s="73"/>
      <c r="O96" s="80" t="s">
        <v>210</v>
      </c>
      <c r="P96" s="80" t="s">
        <v>196</v>
      </c>
      <c r="Q96" s="80" t="s">
        <v>704</v>
      </c>
      <c r="R96" s="80" t="s">
        <v>501</v>
      </c>
      <c r="S96" s="80" t="s">
        <v>963</v>
      </c>
      <c r="T96" s="82" t="str">
        <f>HYPERLINK("http://www.youtube.com/channel/UCdZXQlNEEb80jKMVCgQufXQ")</f>
        <v>http://www.youtube.com/channel/UCdZXQlNEEb80jKMVCgQufXQ</v>
      </c>
      <c r="U96" s="80"/>
      <c r="V96" s="80" t="s">
        <v>1201</v>
      </c>
      <c r="W96" s="82" t="str">
        <f>HYPERLINK("https://www.youtube.com/watch?v=iveCss_hzDo")</f>
        <v>https://www.youtube.com/watch?v=iveCss_hzDo</v>
      </c>
      <c r="X96" s="80" t="s">
        <v>213</v>
      </c>
      <c r="Y96" s="80">
        <v>1</v>
      </c>
      <c r="Z96" s="84">
        <v>43999.607719907406</v>
      </c>
      <c r="AA96" s="84">
        <v>43999.607719907406</v>
      </c>
      <c r="AB96" s="80"/>
      <c r="AC96" s="80"/>
      <c r="AD96" s="80"/>
      <c r="AE96" s="80">
        <v>1</v>
      </c>
      <c r="AF96" s="79" t="str">
        <f>REPLACE(INDEX(GroupVertices[Group],MATCH(Edges[[#This Row],[Vertex 1]],GroupVertices[Vertex],0)),1,1,"")</f>
        <v>13</v>
      </c>
      <c r="AG96" s="79" t="str">
        <f>REPLACE(INDEX(GroupVertices[Group],MATCH(Edges[[#This Row],[Vertex 2]],GroupVertices[Vertex],0)),1,1,"")</f>
        <v>13</v>
      </c>
      <c r="AH96" s="34"/>
      <c r="AI96" s="34"/>
      <c r="AJ96" s="34"/>
      <c r="AK96" s="34"/>
      <c r="AL96" s="34"/>
      <c r="AM96" s="34"/>
      <c r="AN96" s="34"/>
      <c r="AO96" s="34"/>
      <c r="AP96" s="34"/>
    </row>
    <row r="97" spans="1:42" ht="15">
      <c r="A97" s="65" t="s">
        <v>502</v>
      </c>
      <c r="B97" s="65" t="s">
        <v>503</v>
      </c>
      <c r="C97" s="66" t="s">
        <v>1853</v>
      </c>
      <c r="D97" s="67">
        <v>2</v>
      </c>
      <c r="E97" s="68"/>
      <c r="F97" s="69">
        <v>32</v>
      </c>
      <c r="G97" s="66"/>
      <c r="H97" s="70"/>
      <c r="I97" s="71"/>
      <c r="J97" s="71"/>
      <c r="K97" s="34" t="s">
        <v>66</v>
      </c>
      <c r="L97" s="78">
        <v>97</v>
      </c>
      <c r="M97" s="78"/>
      <c r="N97" s="73"/>
      <c r="O97" s="80" t="s">
        <v>211</v>
      </c>
      <c r="P97" s="80" t="s">
        <v>212</v>
      </c>
      <c r="Q97" s="80" t="s">
        <v>705</v>
      </c>
      <c r="R97" s="80" t="s">
        <v>502</v>
      </c>
      <c r="S97" s="80" t="s">
        <v>964</v>
      </c>
      <c r="T97" s="82" t="str">
        <f>HYPERLINK("http://www.youtube.com/channel/UCLMzXVHnHNXjwWqNDLPW6cg")</f>
        <v>http://www.youtube.com/channel/UCLMzXVHnHNXjwWqNDLPW6cg</v>
      </c>
      <c r="U97" s="80" t="s">
        <v>1104</v>
      </c>
      <c r="V97" s="80" t="s">
        <v>1202</v>
      </c>
      <c r="W97" s="82" t="str">
        <f>HYPERLINK("https://www.youtube.com/watch?v=UJdJffYWo5w")</f>
        <v>https://www.youtube.com/watch?v=UJdJffYWo5w</v>
      </c>
      <c r="X97" s="80" t="s">
        <v>213</v>
      </c>
      <c r="Y97" s="80">
        <v>0</v>
      </c>
      <c r="Z97" s="84">
        <v>43999.72800925926</v>
      </c>
      <c r="AA97" s="84">
        <v>43999.72800925926</v>
      </c>
      <c r="AB97" s="80"/>
      <c r="AC97" s="80"/>
      <c r="AD97" s="80"/>
      <c r="AE97" s="80">
        <v>1</v>
      </c>
      <c r="AF97" s="79" t="str">
        <f>REPLACE(INDEX(GroupVertices[Group],MATCH(Edges[[#This Row],[Vertex 1]],GroupVertices[Vertex],0)),1,1,"")</f>
        <v>25</v>
      </c>
      <c r="AG97" s="79" t="str">
        <f>REPLACE(INDEX(GroupVertices[Group],MATCH(Edges[[#This Row],[Vertex 2]],GroupVertices[Vertex],0)),1,1,"")</f>
        <v>25</v>
      </c>
      <c r="AH97" s="34"/>
      <c r="AI97" s="34"/>
      <c r="AJ97" s="34"/>
      <c r="AK97" s="34"/>
      <c r="AL97" s="34"/>
      <c r="AM97" s="34"/>
      <c r="AN97" s="34"/>
      <c r="AO97" s="34"/>
      <c r="AP97" s="34"/>
    </row>
    <row r="98" spans="1:42" ht="15">
      <c r="A98" s="65" t="s">
        <v>503</v>
      </c>
      <c r="B98" s="65" t="s">
        <v>502</v>
      </c>
      <c r="C98" s="66" t="s">
        <v>1853</v>
      </c>
      <c r="D98" s="67">
        <v>2</v>
      </c>
      <c r="E98" s="68"/>
      <c r="F98" s="69">
        <v>32</v>
      </c>
      <c r="G98" s="66"/>
      <c r="H98" s="70"/>
      <c r="I98" s="71"/>
      <c r="J98" s="71"/>
      <c r="K98" s="34" t="s">
        <v>66</v>
      </c>
      <c r="L98" s="78">
        <v>98</v>
      </c>
      <c r="M98" s="78"/>
      <c r="N98" s="73"/>
      <c r="O98" s="80" t="s">
        <v>210</v>
      </c>
      <c r="P98" s="80" t="s">
        <v>196</v>
      </c>
      <c r="Q98" s="80" t="s">
        <v>706</v>
      </c>
      <c r="R98" s="80" t="s">
        <v>503</v>
      </c>
      <c r="S98" s="80" t="s">
        <v>965</v>
      </c>
      <c r="T98" s="82" t="str">
        <f>HYPERLINK("http://www.youtube.com/channel/UCAowWiRWK0qWlIRpK9WzQNA")</f>
        <v>http://www.youtube.com/channel/UCAowWiRWK0qWlIRpK9WzQNA</v>
      </c>
      <c r="U98" s="80"/>
      <c r="V98" s="80" t="s">
        <v>1202</v>
      </c>
      <c r="W98" s="82" t="str">
        <f>HYPERLINK("https://www.youtube.com/watch?v=UJdJffYWo5w")</f>
        <v>https://www.youtube.com/watch?v=UJdJffYWo5w</v>
      </c>
      <c r="X98" s="80" t="s">
        <v>213</v>
      </c>
      <c r="Y98" s="80">
        <v>2</v>
      </c>
      <c r="Z98" s="84">
        <v>43999.645416666666</v>
      </c>
      <c r="AA98" s="84">
        <v>43999.645416666666</v>
      </c>
      <c r="AB98" s="80"/>
      <c r="AC98" s="80"/>
      <c r="AD98" s="80"/>
      <c r="AE98" s="80">
        <v>1</v>
      </c>
      <c r="AF98" s="79" t="str">
        <f>REPLACE(INDEX(GroupVertices[Group],MATCH(Edges[[#This Row],[Vertex 1]],GroupVertices[Vertex],0)),1,1,"")</f>
        <v>25</v>
      </c>
      <c r="AG98" s="79" t="str">
        <f>REPLACE(INDEX(GroupVertices[Group],MATCH(Edges[[#This Row],[Vertex 2]],GroupVertices[Vertex],0)),1,1,"")</f>
        <v>25</v>
      </c>
      <c r="AH98" s="34"/>
      <c r="AI98" s="34"/>
      <c r="AJ98" s="34"/>
      <c r="AK98" s="34"/>
      <c r="AL98" s="34"/>
      <c r="AM98" s="34"/>
      <c r="AN98" s="34"/>
      <c r="AO98" s="34"/>
      <c r="AP98" s="34"/>
    </row>
    <row r="99" spans="1:42" ht="15">
      <c r="A99" s="65" t="s">
        <v>504</v>
      </c>
      <c r="B99" s="65" t="s">
        <v>505</v>
      </c>
      <c r="C99" s="66" t="s">
        <v>1853</v>
      </c>
      <c r="D99" s="67">
        <v>2</v>
      </c>
      <c r="E99" s="68"/>
      <c r="F99" s="69">
        <v>32</v>
      </c>
      <c r="G99" s="66"/>
      <c r="H99" s="70"/>
      <c r="I99" s="71"/>
      <c r="J99" s="71"/>
      <c r="K99" s="34" t="s">
        <v>66</v>
      </c>
      <c r="L99" s="78">
        <v>99</v>
      </c>
      <c r="M99" s="78"/>
      <c r="N99" s="73"/>
      <c r="O99" s="80" t="s">
        <v>211</v>
      </c>
      <c r="P99" s="80" t="s">
        <v>212</v>
      </c>
      <c r="Q99" s="80" t="s">
        <v>707</v>
      </c>
      <c r="R99" s="80" t="s">
        <v>504</v>
      </c>
      <c r="S99" s="80" t="s">
        <v>966</v>
      </c>
      <c r="T99" s="82" t="str">
        <f>HYPERLINK("http://www.youtube.com/channel/UCOcjS2ppQSqIsbMgWGCfLew")</f>
        <v>http://www.youtube.com/channel/UCOcjS2ppQSqIsbMgWGCfLew</v>
      </c>
      <c r="U99" s="80" t="s">
        <v>1105</v>
      </c>
      <c r="V99" s="80" t="s">
        <v>1203</v>
      </c>
      <c r="W99" s="82" t="str">
        <f>HYPERLINK("https://www.youtube.com/watch?v=JLwYv2Ok6XY")</f>
        <v>https://www.youtube.com/watch?v=JLwYv2Ok6XY</v>
      </c>
      <c r="X99" s="80" t="s">
        <v>213</v>
      </c>
      <c r="Y99" s="80">
        <v>1</v>
      </c>
      <c r="Z99" s="84">
        <v>43999.554027777776</v>
      </c>
      <c r="AA99" s="84">
        <v>43999.554027777776</v>
      </c>
      <c r="AB99" s="80"/>
      <c r="AC99" s="80"/>
      <c r="AD99" s="80"/>
      <c r="AE99" s="80">
        <v>1</v>
      </c>
      <c r="AF99" s="79" t="str">
        <f>REPLACE(INDEX(GroupVertices[Group],MATCH(Edges[[#This Row],[Vertex 1]],GroupVertices[Vertex],0)),1,1,"")</f>
        <v>7</v>
      </c>
      <c r="AG99" s="79" t="str">
        <f>REPLACE(INDEX(GroupVertices[Group],MATCH(Edges[[#This Row],[Vertex 2]],GroupVertices[Vertex],0)),1,1,"")</f>
        <v>7</v>
      </c>
      <c r="AH99" s="34"/>
      <c r="AI99" s="34"/>
      <c r="AJ99" s="34"/>
      <c r="AK99" s="34"/>
      <c r="AL99" s="34"/>
      <c r="AM99" s="34"/>
      <c r="AN99" s="34"/>
      <c r="AO99" s="34"/>
      <c r="AP99" s="34"/>
    </row>
    <row r="100" spans="1:42" ht="15">
      <c r="A100" s="65" t="s">
        <v>505</v>
      </c>
      <c r="B100" s="65" t="s">
        <v>504</v>
      </c>
      <c r="C100" s="66" t="s">
        <v>1853</v>
      </c>
      <c r="D100" s="67">
        <v>2</v>
      </c>
      <c r="E100" s="68"/>
      <c r="F100" s="69">
        <v>32</v>
      </c>
      <c r="G100" s="66"/>
      <c r="H100" s="70"/>
      <c r="I100" s="71"/>
      <c r="J100" s="71"/>
      <c r="K100" s="34" t="s">
        <v>66</v>
      </c>
      <c r="L100" s="78">
        <v>100</v>
      </c>
      <c r="M100" s="78"/>
      <c r="N100" s="73"/>
      <c r="O100" s="80" t="s">
        <v>210</v>
      </c>
      <c r="P100" s="80" t="s">
        <v>196</v>
      </c>
      <c r="Q100" s="80" t="s">
        <v>708</v>
      </c>
      <c r="R100" s="80" t="s">
        <v>505</v>
      </c>
      <c r="S100" s="80" t="s">
        <v>967</v>
      </c>
      <c r="T100" s="82" t="str">
        <f>HYPERLINK("http://www.youtube.com/channel/UC5soOn0QU0yvs6Pe7K0tefQ")</f>
        <v>http://www.youtube.com/channel/UC5soOn0QU0yvs6Pe7K0tefQ</v>
      </c>
      <c r="U100" s="80"/>
      <c r="V100" s="80" t="s">
        <v>1203</v>
      </c>
      <c r="W100" s="82" t="str">
        <f>HYPERLINK("https://www.youtube.com/watch?v=JLwYv2Ok6XY")</f>
        <v>https://www.youtube.com/watch?v=JLwYv2Ok6XY</v>
      </c>
      <c r="X100" s="80" t="s">
        <v>213</v>
      </c>
      <c r="Y100" s="80">
        <v>1</v>
      </c>
      <c r="Z100" s="84">
        <v>43999.07763888889</v>
      </c>
      <c r="AA100" s="84">
        <v>43999.07763888889</v>
      </c>
      <c r="AB100" s="80"/>
      <c r="AC100" s="80"/>
      <c r="AD100" s="80"/>
      <c r="AE100" s="80">
        <v>1</v>
      </c>
      <c r="AF100" s="79" t="str">
        <f>REPLACE(INDEX(GroupVertices[Group],MATCH(Edges[[#This Row],[Vertex 1]],GroupVertices[Vertex],0)),1,1,"")</f>
        <v>7</v>
      </c>
      <c r="AG100" s="79" t="str">
        <f>REPLACE(INDEX(GroupVertices[Group],MATCH(Edges[[#This Row],[Vertex 2]],GroupVertices[Vertex],0)),1,1,"")</f>
        <v>7</v>
      </c>
      <c r="AH100" s="34"/>
      <c r="AI100" s="34"/>
      <c r="AJ100" s="34"/>
      <c r="AK100" s="34"/>
      <c r="AL100" s="34"/>
      <c r="AM100" s="34"/>
      <c r="AN100" s="34"/>
      <c r="AO100" s="34"/>
      <c r="AP100" s="34"/>
    </row>
    <row r="101" spans="1:42" ht="15">
      <c r="A101" s="65" t="s">
        <v>504</v>
      </c>
      <c r="B101" s="65" t="s">
        <v>506</v>
      </c>
      <c r="C101" s="66" t="s">
        <v>1853</v>
      </c>
      <c r="D101" s="67">
        <v>2</v>
      </c>
      <c r="E101" s="68"/>
      <c r="F101" s="69">
        <v>32</v>
      </c>
      <c r="G101" s="66"/>
      <c r="H101" s="70"/>
      <c r="I101" s="71"/>
      <c r="J101" s="71"/>
      <c r="K101" s="34" t="s">
        <v>66</v>
      </c>
      <c r="L101" s="78">
        <v>101</v>
      </c>
      <c r="M101" s="78"/>
      <c r="N101" s="73"/>
      <c r="O101" s="80" t="s">
        <v>211</v>
      </c>
      <c r="P101" s="80" t="s">
        <v>212</v>
      </c>
      <c r="Q101" s="80" t="s">
        <v>709</v>
      </c>
      <c r="R101" s="80" t="s">
        <v>504</v>
      </c>
      <c r="S101" s="80" t="s">
        <v>966</v>
      </c>
      <c r="T101" s="82" t="str">
        <f>HYPERLINK("http://www.youtube.com/channel/UCOcjS2ppQSqIsbMgWGCfLew")</f>
        <v>http://www.youtube.com/channel/UCOcjS2ppQSqIsbMgWGCfLew</v>
      </c>
      <c r="U101" s="80" t="s">
        <v>1106</v>
      </c>
      <c r="V101" s="80" t="s">
        <v>1203</v>
      </c>
      <c r="W101" s="82" t="str">
        <f>HYPERLINK("https://www.youtube.com/watch?v=JLwYv2Ok6XY")</f>
        <v>https://www.youtube.com/watch?v=JLwYv2Ok6XY</v>
      </c>
      <c r="X101" s="80" t="s">
        <v>213</v>
      </c>
      <c r="Y101" s="80">
        <v>0</v>
      </c>
      <c r="Z101" s="84">
        <v>43999.651979166665</v>
      </c>
      <c r="AA101" s="84">
        <v>43999.651979166665</v>
      </c>
      <c r="AB101" s="80"/>
      <c r="AC101" s="80"/>
      <c r="AD101" s="80"/>
      <c r="AE101" s="80">
        <v>1</v>
      </c>
      <c r="AF101" s="79" t="str">
        <f>REPLACE(INDEX(GroupVertices[Group],MATCH(Edges[[#This Row],[Vertex 1]],GroupVertices[Vertex],0)),1,1,"")</f>
        <v>7</v>
      </c>
      <c r="AG101" s="79" t="str">
        <f>REPLACE(INDEX(GroupVertices[Group],MATCH(Edges[[#This Row],[Vertex 2]],GroupVertices[Vertex],0)),1,1,"")</f>
        <v>7</v>
      </c>
      <c r="AH101" s="34"/>
      <c r="AI101" s="34"/>
      <c r="AJ101" s="34"/>
      <c r="AK101" s="34"/>
      <c r="AL101" s="34"/>
      <c r="AM101" s="34"/>
      <c r="AN101" s="34"/>
      <c r="AO101" s="34"/>
      <c r="AP101" s="34"/>
    </row>
    <row r="102" spans="1:42" ht="15">
      <c r="A102" s="65" t="s">
        <v>506</v>
      </c>
      <c r="B102" s="65" t="s">
        <v>504</v>
      </c>
      <c r="C102" s="66" t="s">
        <v>1853</v>
      </c>
      <c r="D102" s="67">
        <v>2</v>
      </c>
      <c r="E102" s="68"/>
      <c r="F102" s="69">
        <v>32</v>
      </c>
      <c r="G102" s="66"/>
      <c r="H102" s="70"/>
      <c r="I102" s="71"/>
      <c r="J102" s="71"/>
      <c r="K102" s="34" t="s">
        <v>66</v>
      </c>
      <c r="L102" s="78">
        <v>102</v>
      </c>
      <c r="M102" s="78"/>
      <c r="N102" s="73"/>
      <c r="O102" s="80" t="s">
        <v>210</v>
      </c>
      <c r="P102" s="80" t="s">
        <v>196</v>
      </c>
      <c r="Q102" s="80" t="s">
        <v>710</v>
      </c>
      <c r="R102" s="80" t="s">
        <v>506</v>
      </c>
      <c r="S102" s="80" t="s">
        <v>968</v>
      </c>
      <c r="T102" s="82" t="str">
        <f>HYPERLINK("http://www.youtube.com/channel/UCdfD0z5ZWKOX_UQ2VusGI1g")</f>
        <v>http://www.youtube.com/channel/UCdfD0z5ZWKOX_UQ2VusGI1g</v>
      </c>
      <c r="U102" s="80"/>
      <c r="V102" s="80" t="s">
        <v>1203</v>
      </c>
      <c r="W102" s="82" t="str">
        <f>HYPERLINK("https://www.youtube.com/watch?v=JLwYv2Ok6XY")</f>
        <v>https://www.youtube.com/watch?v=JLwYv2Ok6XY</v>
      </c>
      <c r="X102" s="80" t="s">
        <v>213</v>
      </c>
      <c r="Y102" s="80">
        <v>1</v>
      </c>
      <c r="Z102" s="84">
        <v>43999.09546296296</v>
      </c>
      <c r="AA102" s="84">
        <v>43999.09546296296</v>
      </c>
      <c r="AB102" s="80"/>
      <c r="AC102" s="80"/>
      <c r="AD102" s="80"/>
      <c r="AE102" s="80">
        <v>1</v>
      </c>
      <c r="AF102" s="79" t="str">
        <f>REPLACE(INDEX(GroupVertices[Group],MATCH(Edges[[#This Row],[Vertex 1]],GroupVertices[Vertex],0)),1,1,"")</f>
        <v>7</v>
      </c>
      <c r="AG102" s="79" t="str">
        <f>REPLACE(INDEX(GroupVertices[Group],MATCH(Edges[[#This Row],[Vertex 2]],GroupVertices[Vertex],0)),1,1,"")</f>
        <v>7</v>
      </c>
      <c r="AH102" s="34"/>
      <c r="AI102" s="34"/>
      <c r="AJ102" s="34"/>
      <c r="AK102" s="34"/>
      <c r="AL102" s="34"/>
      <c r="AM102" s="34"/>
      <c r="AN102" s="34"/>
      <c r="AO102" s="34"/>
      <c r="AP102" s="34"/>
    </row>
    <row r="103" spans="1:42" ht="15">
      <c r="A103" s="65" t="s">
        <v>504</v>
      </c>
      <c r="B103" s="65" t="s">
        <v>507</v>
      </c>
      <c r="C103" s="66" t="s">
        <v>1853</v>
      </c>
      <c r="D103" s="67">
        <v>2</v>
      </c>
      <c r="E103" s="68"/>
      <c r="F103" s="69">
        <v>32</v>
      </c>
      <c r="G103" s="66"/>
      <c r="H103" s="70"/>
      <c r="I103" s="71"/>
      <c r="J103" s="71"/>
      <c r="K103" s="34" t="s">
        <v>66</v>
      </c>
      <c r="L103" s="78">
        <v>103</v>
      </c>
      <c r="M103" s="78"/>
      <c r="N103" s="73"/>
      <c r="O103" s="80" t="s">
        <v>211</v>
      </c>
      <c r="P103" s="80" t="s">
        <v>212</v>
      </c>
      <c r="Q103" s="80" t="s">
        <v>711</v>
      </c>
      <c r="R103" s="80" t="s">
        <v>504</v>
      </c>
      <c r="S103" s="80" t="s">
        <v>966</v>
      </c>
      <c r="T103" s="82" t="str">
        <f>HYPERLINK("http://www.youtube.com/channel/UCOcjS2ppQSqIsbMgWGCfLew")</f>
        <v>http://www.youtube.com/channel/UCOcjS2ppQSqIsbMgWGCfLew</v>
      </c>
      <c r="U103" s="80" t="s">
        <v>1107</v>
      </c>
      <c r="V103" s="80" t="s">
        <v>1203</v>
      </c>
      <c r="W103" s="82" t="str">
        <f>HYPERLINK("https://www.youtube.com/watch?v=JLwYv2Ok6XY")</f>
        <v>https://www.youtube.com/watch?v=JLwYv2Ok6XY</v>
      </c>
      <c r="X103" s="80" t="s">
        <v>213</v>
      </c>
      <c r="Y103" s="80">
        <v>0</v>
      </c>
      <c r="Z103" s="84">
        <v>43999.55373842592</v>
      </c>
      <c r="AA103" s="84">
        <v>43999.55373842592</v>
      </c>
      <c r="AB103" s="80"/>
      <c r="AC103" s="80"/>
      <c r="AD103" s="80"/>
      <c r="AE103" s="80">
        <v>1</v>
      </c>
      <c r="AF103" s="79" t="str">
        <f>REPLACE(INDEX(GroupVertices[Group],MATCH(Edges[[#This Row],[Vertex 1]],GroupVertices[Vertex],0)),1,1,"")</f>
        <v>7</v>
      </c>
      <c r="AG103" s="79" t="str">
        <f>REPLACE(INDEX(GroupVertices[Group],MATCH(Edges[[#This Row],[Vertex 2]],GroupVertices[Vertex],0)),1,1,"")</f>
        <v>7</v>
      </c>
      <c r="AH103" s="34"/>
      <c r="AI103" s="34"/>
      <c r="AJ103" s="34"/>
      <c r="AK103" s="34"/>
      <c r="AL103" s="34"/>
      <c r="AM103" s="34"/>
      <c r="AN103" s="34"/>
      <c r="AO103" s="34"/>
      <c r="AP103" s="34"/>
    </row>
    <row r="104" spans="1:42" ht="15">
      <c r="A104" s="65" t="s">
        <v>507</v>
      </c>
      <c r="B104" s="65" t="s">
        <v>504</v>
      </c>
      <c r="C104" s="66" t="s">
        <v>1853</v>
      </c>
      <c r="D104" s="67">
        <v>2</v>
      </c>
      <c r="E104" s="68"/>
      <c r="F104" s="69">
        <v>32</v>
      </c>
      <c r="G104" s="66"/>
      <c r="H104" s="70"/>
      <c r="I104" s="71"/>
      <c r="J104" s="71"/>
      <c r="K104" s="34" t="s">
        <v>66</v>
      </c>
      <c r="L104" s="78">
        <v>104</v>
      </c>
      <c r="M104" s="78"/>
      <c r="N104" s="73"/>
      <c r="O104" s="80" t="s">
        <v>210</v>
      </c>
      <c r="P104" s="80" t="s">
        <v>196</v>
      </c>
      <c r="Q104" s="80" t="s">
        <v>712</v>
      </c>
      <c r="R104" s="80" t="s">
        <v>507</v>
      </c>
      <c r="S104" s="80" t="s">
        <v>969</v>
      </c>
      <c r="T104" s="82" t="str">
        <f>HYPERLINK("http://www.youtube.com/channel/UCcBqmhhOJhdSmfXNeIBAehw")</f>
        <v>http://www.youtube.com/channel/UCcBqmhhOJhdSmfXNeIBAehw</v>
      </c>
      <c r="U104" s="80"/>
      <c r="V104" s="80" t="s">
        <v>1203</v>
      </c>
      <c r="W104" s="82" t="str">
        <f>HYPERLINK("https://www.youtube.com/watch?v=JLwYv2Ok6XY")</f>
        <v>https://www.youtube.com/watch?v=JLwYv2Ok6XY</v>
      </c>
      <c r="X104" s="80" t="s">
        <v>213</v>
      </c>
      <c r="Y104" s="80">
        <v>1</v>
      </c>
      <c r="Z104" s="84">
        <v>43999.14787037037</v>
      </c>
      <c r="AA104" s="84">
        <v>43999.14787037037</v>
      </c>
      <c r="AB104" s="80"/>
      <c r="AC104" s="80"/>
      <c r="AD104" s="80"/>
      <c r="AE104" s="80">
        <v>1</v>
      </c>
      <c r="AF104" s="79" t="str">
        <f>REPLACE(INDEX(GroupVertices[Group],MATCH(Edges[[#This Row],[Vertex 1]],GroupVertices[Vertex],0)),1,1,"")</f>
        <v>7</v>
      </c>
      <c r="AG104" s="79" t="str">
        <f>REPLACE(INDEX(GroupVertices[Group],MATCH(Edges[[#This Row],[Vertex 2]],GroupVertices[Vertex],0)),1,1,"")</f>
        <v>7</v>
      </c>
      <c r="AH104" s="34"/>
      <c r="AI104" s="34"/>
      <c r="AJ104" s="34"/>
      <c r="AK104" s="34"/>
      <c r="AL104" s="34"/>
      <c r="AM104" s="34"/>
      <c r="AN104" s="34"/>
      <c r="AO104" s="34"/>
      <c r="AP104" s="34"/>
    </row>
    <row r="105" spans="1:42" ht="15">
      <c r="A105" s="65" t="s">
        <v>504</v>
      </c>
      <c r="B105" s="65" t="s">
        <v>508</v>
      </c>
      <c r="C105" s="66" t="s">
        <v>1853</v>
      </c>
      <c r="D105" s="67">
        <v>2</v>
      </c>
      <c r="E105" s="68"/>
      <c r="F105" s="69">
        <v>32</v>
      </c>
      <c r="G105" s="66"/>
      <c r="H105" s="70"/>
      <c r="I105" s="71"/>
      <c r="J105" s="71"/>
      <c r="K105" s="34" t="s">
        <v>66</v>
      </c>
      <c r="L105" s="78">
        <v>105</v>
      </c>
      <c r="M105" s="78"/>
      <c r="N105" s="73"/>
      <c r="O105" s="80" t="s">
        <v>211</v>
      </c>
      <c r="P105" s="80" t="s">
        <v>212</v>
      </c>
      <c r="Q105" s="80" t="s">
        <v>713</v>
      </c>
      <c r="R105" s="80" t="s">
        <v>504</v>
      </c>
      <c r="S105" s="80" t="s">
        <v>966</v>
      </c>
      <c r="T105" s="82" t="str">
        <f>HYPERLINK("http://www.youtube.com/channel/UCOcjS2ppQSqIsbMgWGCfLew")</f>
        <v>http://www.youtube.com/channel/UCOcjS2ppQSqIsbMgWGCfLew</v>
      </c>
      <c r="U105" s="80" t="s">
        <v>1108</v>
      </c>
      <c r="V105" s="80" t="s">
        <v>1203</v>
      </c>
      <c r="W105" s="82" t="str">
        <f>HYPERLINK("https://www.youtube.com/watch?v=JLwYv2Ok6XY")</f>
        <v>https://www.youtube.com/watch?v=JLwYv2Ok6XY</v>
      </c>
      <c r="X105" s="80" t="s">
        <v>213</v>
      </c>
      <c r="Y105" s="80">
        <v>1</v>
      </c>
      <c r="Z105" s="84">
        <v>43999.651921296296</v>
      </c>
      <c r="AA105" s="84">
        <v>43999.651921296296</v>
      </c>
      <c r="AB105" s="80"/>
      <c r="AC105" s="80"/>
      <c r="AD105" s="80"/>
      <c r="AE105" s="80">
        <v>1</v>
      </c>
      <c r="AF105" s="79" t="str">
        <f>REPLACE(INDEX(GroupVertices[Group],MATCH(Edges[[#This Row],[Vertex 1]],GroupVertices[Vertex],0)),1,1,"")</f>
        <v>7</v>
      </c>
      <c r="AG105" s="79" t="str">
        <f>REPLACE(INDEX(GroupVertices[Group],MATCH(Edges[[#This Row],[Vertex 2]],GroupVertices[Vertex],0)),1,1,"")</f>
        <v>7</v>
      </c>
      <c r="AH105" s="34"/>
      <c r="AI105" s="34"/>
      <c r="AJ105" s="34"/>
      <c r="AK105" s="34"/>
      <c r="AL105" s="34"/>
      <c r="AM105" s="34"/>
      <c r="AN105" s="34"/>
      <c r="AO105" s="34"/>
      <c r="AP105" s="34"/>
    </row>
    <row r="106" spans="1:42" ht="15">
      <c r="A106" s="65" t="s">
        <v>508</v>
      </c>
      <c r="B106" s="65" t="s">
        <v>504</v>
      </c>
      <c r="C106" s="66" t="s">
        <v>1853</v>
      </c>
      <c r="D106" s="67">
        <v>2</v>
      </c>
      <c r="E106" s="68"/>
      <c r="F106" s="69">
        <v>32</v>
      </c>
      <c r="G106" s="66"/>
      <c r="H106" s="70"/>
      <c r="I106" s="71"/>
      <c r="J106" s="71"/>
      <c r="K106" s="34" t="s">
        <v>66</v>
      </c>
      <c r="L106" s="78">
        <v>106</v>
      </c>
      <c r="M106" s="78"/>
      <c r="N106" s="73"/>
      <c r="O106" s="80" t="s">
        <v>210</v>
      </c>
      <c r="P106" s="80" t="s">
        <v>196</v>
      </c>
      <c r="Q106" s="80" t="s">
        <v>714</v>
      </c>
      <c r="R106" s="80" t="s">
        <v>508</v>
      </c>
      <c r="S106" s="80" t="s">
        <v>970</v>
      </c>
      <c r="T106" s="82" t="str">
        <f>HYPERLINK("http://www.youtube.com/channel/UClfdPRaAYRr_hm1QXPw0qfg")</f>
        <v>http://www.youtube.com/channel/UClfdPRaAYRr_hm1QXPw0qfg</v>
      </c>
      <c r="U106" s="80"/>
      <c r="V106" s="80" t="s">
        <v>1203</v>
      </c>
      <c r="W106" s="82" t="str">
        <f>HYPERLINK("https://www.youtube.com/watch?v=JLwYv2Ok6XY")</f>
        <v>https://www.youtube.com/watch?v=JLwYv2Ok6XY</v>
      </c>
      <c r="X106" s="80" t="s">
        <v>213</v>
      </c>
      <c r="Y106" s="80">
        <v>1</v>
      </c>
      <c r="Z106" s="84">
        <v>43999.153495370374</v>
      </c>
      <c r="AA106" s="84">
        <v>43999.153495370374</v>
      </c>
      <c r="AB106" s="80"/>
      <c r="AC106" s="80"/>
      <c r="AD106" s="80"/>
      <c r="AE106" s="80">
        <v>1</v>
      </c>
      <c r="AF106" s="79" t="str">
        <f>REPLACE(INDEX(GroupVertices[Group],MATCH(Edges[[#This Row],[Vertex 1]],GroupVertices[Vertex],0)),1,1,"")</f>
        <v>7</v>
      </c>
      <c r="AG106" s="79" t="str">
        <f>REPLACE(INDEX(GroupVertices[Group],MATCH(Edges[[#This Row],[Vertex 2]],GroupVertices[Vertex],0)),1,1,"")</f>
        <v>7</v>
      </c>
      <c r="AH106" s="34"/>
      <c r="AI106" s="34"/>
      <c r="AJ106" s="34"/>
      <c r="AK106" s="34"/>
      <c r="AL106" s="34"/>
      <c r="AM106" s="34"/>
      <c r="AN106" s="34"/>
      <c r="AO106" s="34"/>
      <c r="AP106" s="34"/>
    </row>
    <row r="107" spans="1:42" ht="15">
      <c r="A107" s="65" t="s">
        <v>509</v>
      </c>
      <c r="B107" s="65" t="s">
        <v>510</v>
      </c>
      <c r="C107" s="66" t="s">
        <v>1853</v>
      </c>
      <c r="D107" s="67">
        <v>2</v>
      </c>
      <c r="E107" s="68"/>
      <c r="F107" s="69">
        <v>32</v>
      </c>
      <c r="G107" s="66"/>
      <c r="H107" s="70"/>
      <c r="I107" s="71"/>
      <c r="J107" s="71"/>
      <c r="K107" s="34" t="s">
        <v>65</v>
      </c>
      <c r="L107" s="78">
        <v>107</v>
      </c>
      <c r="M107" s="78"/>
      <c r="N107" s="73"/>
      <c r="O107" s="80" t="s">
        <v>211</v>
      </c>
      <c r="P107" s="80" t="s">
        <v>212</v>
      </c>
      <c r="Q107" s="80" t="s">
        <v>715</v>
      </c>
      <c r="R107" s="80" t="s">
        <v>509</v>
      </c>
      <c r="S107" s="80" t="s">
        <v>971</v>
      </c>
      <c r="T107" s="82" t="str">
        <f>HYPERLINK("http://www.youtube.com/channel/UCaibApO4Ht7dCy_MZwlVNQw")</f>
        <v>http://www.youtube.com/channel/UCaibApO4Ht7dCy_MZwlVNQw</v>
      </c>
      <c r="U107" s="80" t="s">
        <v>1109</v>
      </c>
      <c r="V107" s="80" t="s">
        <v>1203</v>
      </c>
      <c r="W107" s="82" t="str">
        <f>HYPERLINK("https://www.youtube.com/watch?v=JLwYv2Ok6XY")</f>
        <v>https://www.youtube.com/watch?v=JLwYv2Ok6XY</v>
      </c>
      <c r="X107" s="80" t="s">
        <v>213</v>
      </c>
      <c r="Y107" s="80">
        <v>1</v>
      </c>
      <c r="Z107" s="84">
        <v>43999.86032407408</v>
      </c>
      <c r="AA107" s="84">
        <v>43999.86032407408</v>
      </c>
      <c r="AB107" s="80"/>
      <c r="AC107" s="80"/>
      <c r="AD107" s="80"/>
      <c r="AE107" s="80">
        <v>1</v>
      </c>
      <c r="AF107" s="79" t="str">
        <f>REPLACE(INDEX(GroupVertices[Group],MATCH(Edges[[#This Row],[Vertex 1]],GroupVertices[Vertex],0)),1,1,"")</f>
        <v>7</v>
      </c>
      <c r="AG107" s="79" t="str">
        <f>REPLACE(INDEX(GroupVertices[Group],MATCH(Edges[[#This Row],[Vertex 2]],GroupVertices[Vertex],0)),1,1,"")</f>
        <v>7</v>
      </c>
      <c r="AH107" s="34"/>
      <c r="AI107" s="34"/>
      <c r="AJ107" s="34"/>
      <c r="AK107" s="34"/>
      <c r="AL107" s="34"/>
      <c r="AM107" s="34"/>
      <c r="AN107" s="34"/>
      <c r="AO107" s="34"/>
      <c r="AP107" s="34"/>
    </row>
    <row r="108" spans="1:42" ht="15">
      <c r="A108" s="65" t="s">
        <v>504</v>
      </c>
      <c r="B108" s="65" t="s">
        <v>510</v>
      </c>
      <c r="C108" s="66" t="s">
        <v>1853</v>
      </c>
      <c r="D108" s="67">
        <v>2</v>
      </c>
      <c r="E108" s="68"/>
      <c r="F108" s="69">
        <v>32</v>
      </c>
      <c r="G108" s="66"/>
      <c r="H108" s="70"/>
      <c r="I108" s="71"/>
      <c r="J108" s="71"/>
      <c r="K108" s="34" t="s">
        <v>66</v>
      </c>
      <c r="L108" s="78">
        <v>108</v>
      </c>
      <c r="M108" s="78"/>
      <c r="N108" s="73"/>
      <c r="O108" s="80" t="s">
        <v>211</v>
      </c>
      <c r="P108" s="80" t="s">
        <v>212</v>
      </c>
      <c r="Q108" s="80" t="s">
        <v>716</v>
      </c>
      <c r="R108" s="80" t="s">
        <v>504</v>
      </c>
      <c r="S108" s="80" t="s">
        <v>966</v>
      </c>
      <c r="T108" s="82" t="str">
        <f>HYPERLINK("http://www.youtube.com/channel/UCOcjS2ppQSqIsbMgWGCfLew")</f>
        <v>http://www.youtube.com/channel/UCOcjS2ppQSqIsbMgWGCfLew</v>
      </c>
      <c r="U108" s="80" t="s">
        <v>1109</v>
      </c>
      <c r="V108" s="80" t="s">
        <v>1203</v>
      </c>
      <c r="W108" s="82" t="str">
        <f>HYPERLINK("https://www.youtube.com/watch?v=JLwYv2Ok6XY")</f>
        <v>https://www.youtube.com/watch?v=JLwYv2Ok6XY</v>
      </c>
      <c r="X108" s="80" t="s">
        <v>213</v>
      </c>
      <c r="Y108" s="80">
        <v>1</v>
      </c>
      <c r="Z108" s="84">
        <v>43999.55386574074</v>
      </c>
      <c r="AA108" s="84">
        <v>43999.55386574074</v>
      </c>
      <c r="AB108" s="80"/>
      <c r="AC108" s="80"/>
      <c r="AD108" s="80"/>
      <c r="AE108" s="80">
        <v>1</v>
      </c>
      <c r="AF108" s="79" t="str">
        <f>REPLACE(INDEX(GroupVertices[Group],MATCH(Edges[[#This Row],[Vertex 1]],GroupVertices[Vertex],0)),1,1,"")</f>
        <v>7</v>
      </c>
      <c r="AG108" s="79" t="str">
        <f>REPLACE(INDEX(GroupVertices[Group],MATCH(Edges[[#This Row],[Vertex 2]],GroupVertices[Vertex],0)),1,1,"")</f>
        <v>7</v>
      </c>
      <c r="AH108" s="34"/>
      <c r="AI108" s="34"/>
      <c r="AJ108" s="34"/>
      <c r="AK108" s="34"/>
      <c r="AL108" s="34"/>
      <c r="AM108" s="34"/>
      <c r="AN108" s="34"/>
      <c r="AO108" s="34"/>
      <c r="AP108" s="34"/>
    </row>
    <row r="109" spans="1:42" ht="15">
      <c r="A109" s="65" t="s">
        <v>510</v>
      </c>
      <c r="B109" s="65" t="s">
        <v>504</v>
      </c>
      <c r="C109" s="66" t="s">
        <v>1853</v>
      </c>
      <c r="D109" s="67">
        <v>2</v>
      </c>
      <c r="E109" s="68"/>
      <c r="F109" s="69">
        <v>32</v>
      </c>
      <c r="G109" s="66"/>
      <c r="H109" s="70"/>
      <c r="I109" s="71"/>
      <c r="J109" s="71"/>
      <c r="K109" s="34" t="s">
        <v>66</v>
      </c>
      <c r="L109" s="78">
        <v>109</v>
      </c>
      <c r="M109" s="78"/>
      <c r="N109" s="73"/>
      <c r="O109" s="80" t="s">
        <v>210</v>
      </c>
      <c r="P109" s="80" t="s">
        <v>196</v>
      </c>
      <c r="Q109" s="80" t="s">
        <v>717</v>
      </c>
      <c r="R109" s="80" t="s">
        <v>510</v>
      </c>
      <c r="S109" s="80" t="s">
        <v>972</v>
      </c>
      <c r="T109" s="82" t="str">
        <f>HYPERLINK("http://www.youtube.com/channel/UCoBQCIDn3ecsqTOv94tVv1Q")</f>
        <v>http://www.youtube.com/channel/UCoBQCIDn3ecsqTOv94tVv1Q</v>
      </c>
      <c r="U109" s="80"/>
      <c r="V109" s="80" t="s">
        <v>1203</v>
      </c>
      <c r="W109" s="82" t="str">
        <f>HYPERLINK("https://www.youtube.com/watch?v=JLwYv2Ok6XY")</f>
        <v>https://www.youtube.com/watch?v=JLwYv2Ok6XY</v>
      </c>
      <c r="X109" s="80" t="s">
        <v>213</v>
      </c>
      <c r="Y109" s="80">
        <v>1</v>
      </c>
      <c r="Z109" s="84">
        <v>43999.18605324074</v>
      </c>
      <c r="AA109" s="84">
        <v>43999.18605324074</v>
      </c>
      <c r="AB109" s="80"/>
      <c r="AC109" s="80"/>
      <c r="AD109" s="80"/>
      <c r="AE109" s="80">
        <v>1</v>
      </c>
      <c r="AF109" s="79" t="str">
        <f>REPLACE(INDEX(GroupVertices[Group],MATCH(Edges[[#This Row],[Vertex 1]],GroupVertices[Vertex],0)),1,1,"")</f>
        <v>7</v>
      </c>
      <c r="AG109" s="79" t="str">
        <f>REPLACE(INDEX(GroupVertices[Group],MATCH(Edges[[#This Row],[Vertex 2]],GroupVertices[Vertex],0)),1,1,"")</f>
        <v>7</v>
      </c>
      <c r="AH109" s="34"/>
      <c r="AI109" s="34"/>
      <c r="AJ109" s="34"/>
      <c r="AK109" s="34"/>
      <c r="AL109" s="34"/>
      <c r="AM109" s="34"/>
      <c r="AN109" s="34"/>
      <c r="AO109" s="34"/>
      <c r="AP109" s="34"/>
    </row>
    <row r="110" spans="1:42" ht="15">
      <c r="A110" s="65" t="s">
        <v>510</v>
      </c>
      <c r="B110" s="65" t="s">
        <v>510</v>
      </c>
      <c r="C110" s="66" t="s">
        <v>1853</v>
      </c>
      <c r="D110" s="67">
        <v>2</v>
      </c>
      <c r="E110" s="68"/>
      <c r="F110" s="69">
        <v>32</v>
      </c>
      <c r="G110" s="66"/>
      <c r="H110" s="70"/>
      <c r="I110" s="71"/>
      <c r="J110" s="71"/>
      <c r="K110" s="34" t="s">
        <v>65</v>
      </c>
      <c r="L110" s="78">
        <v>110</v>
      </c>
      <c r="M110" s="78"/>
      <c r="N110" s="73"/>
      <c r="O110" s="80" t="s">
        <v>211</v>
      </c>
      <c r="P110" s="80" t="s">
        <v>212</v>
      </c>
      <c r="Q110" s="80" t="s">
        <v>718</v>
      </c>
      <c r="R110" s="80" t="s">
        <v>510</v>
      </c>
      <c r="S110" s="80" t="s">
        <v>972</v>
      </c>
      <c r="T110" s="82" t="str">
        <f>HYPERLINK("http://www.youtube.com/channel/UCoBQCIDn3ecsqTOv94tVv1Q")</f>
        <v>http://www.youtube.com/channel/UCoBQCIDn3ecsqTOv94tVv1Q</v>
      </c>
      <c r="U110" s="80" t="s">
        <v>1109</v>
      </c>
      <c r="V110" s="80" t="s">
        <v>1203</v>
      </c>
      <c r="W110" s="82" t="str">
        <f>HYPERLINK("https://www.youtube.com/watch?v=JLwYv2Ok6XY")</f>
        <v>https://www.youtube.com/watch?v=JLwYv2Ok6XY</v>
      </c>
      <c r="X110" s="80" t="s">
        <v>213</v>
      </c>
      <c r="Y110" s="80">
        <v>1</v>
      </c>
      <c r="Z110" s="84">
        <v>43999.86479166667</v>
      </c>
      <c r="AA110" s="84">
        <v>43999.86479166667</v>
      </c>
      <c r="AB110" s="80"/>
      <c r="AC110" s="80"/>
      <c r="AD110" s="80"/>
      <c r="AE110" s="80">
        <v>1</v>
      </c>
      <c r="AF110" s="79" t="str">
        <f>REPLACE(INDEX(GroupVertices[Group],MATCH(Edges[[#This Row],[Vertex 1]],GroupVertices[Vertex],0)),1,1,"")</f>
        <v>7</v>
      </c>
      <c r="AG110" s="79" t="str">
        <f>REPLACE(INDEX(GroupVertices[Group],MATCH(Edges[[#This Row],[Vertex 2]],GroupVertices[Vertex],0)),1,1,"")</f>
        <v>7</v>
      </c>
      <c r="AH110" s="34"/>
      <c r="AI110" s="34"/>
      <c r="AJ110" s="34"/>
      <c r="AK110" s="34"/>
      <c r="AL110" s="34"/>
      <c r="AM110" s="34"/>
      <c r="AN110" s="34"/>
      <c r="AO110" s="34"/>
      <c r="AP110" s="34"/>
    </row>
    <row r="111" spans="1:42" ht="15">
      <c r="A111" s="65" t="s">
        <v>511</v>
      </c>
      <c r="B111" s="65" t="s">
        <v>512</v>
      </c>
      <c r="C111" s="66" t="s">
        <v>1853</v>
      </c>
      <c r="D111" s="67">
        <v>2</v>
      </c>
      <c r="E111" s="68"/>
      <c r="F111" s="69">
        <v>32</v>
      </c>
      <c r="G111" s="66"/>
      <c r="H111" s="70"/>
      <c r="I111" s="71"/>
      <c r="J111" s="71"/>
      <c r="K111" s="34" t="s">
        <v>66</v>
      </c>
      <c r="L111" s="78">
        <v>111</v>
      </c>
      <c r="M111" s="78"/>
      <c r="N111" s="73"/>
      <c r="O111" s="80" t="s">
        <v>211</v>
      </c>
      <c r="P111" s="80" t="s">
        <v>212</v>
      </c>
      <c r="Q111" s="80" t="s">
        <v>719</v>
      </c>
      <c r="R111" s="80" t="s">
        <v>511</v>
      </c>
      <c r="S111" s="80" t="s">
        <v>973</v>
      </c>
      <c r="T111" s="82" t="str">
        <f>HYPERLINK("http://www.youtube.com/channel/UCJ7UhloHSA4wAqPzyi6TOkw")</f>
        <v>http://www.youtube.com/channel/UCJ7UhloHSA4wAqPzyi6TOkw</v>
      </c>
      <c r="U111" s="80" t="s">
        <v>1110</v>
      </c>
      <c r="V111" s="80" t="s">
        <v>1204</v>
      </c>
      <c r="W111" s="82" t="str">
        <f>HYPERLINK("https://www.youtube.com/watch?v=zXJphXou0TE")</f>
        <v>https://www.youtube.com/watch?v=zXJphXou0TE</v>
      </c>
      <c r="X111" s="80" t="s">
        <v>213</v>
      </c>
      <c r="Y111" s="80">
        <v>0</v>
      </c>
      <c r="Z111" s="84">
        <v>43999.59908564815</v>
      </c>
      <c r="AA111" s="84">
        <v>43999.59908564815</v>
      </c>
      <c r="AB111" s="80"/>
      <c r="AC111" s="80"/>
      <c r="AD111" s="80"/>
      <c r="AE111" s="80">
        <v>1</v>
      </c>
      <c r="AF111" s="79" t="str">
        <f>REPLACE(INDEX(GroupVertices[Group],MATCH(Edges[[#This Row],[Vertex 1]],GroupVertices[Vertex],0)),1,1,"")</f>
        <v>6</v>
      </c>
      <c r="AG111" s="79" t="str">
        <f>REPLACE(INDEX(GroupVertices[Group],MATCH(Edges[[#This Row],[Vertex 2]],GroupVertices[Vertex],0)),1,1,"")</f>
        <v>6</v>
      </c>
      <c r="AH111" s="34"/>
      <c r="AI111" s="34"/>
      <c r="AJ111" s="34"/>
      <c r="AK111" s="34"/>
      <c r="AL111" s="34"/>
      <c r="AM111" s="34"/>
      <c r="AN111" s="34"/>
      <c r="AO111" s="34"/>
      <c r="AP111" s="34"/>
    </row>
    <row r="112" spans="1:42" ht="15">
      <c r="A112" s="65" t="s">
        <v>512</v>
      </c>
      <c r="B112" s="65" t="s">
        <v>511</v>
      </c>
      <c r="C112" s="66" t="s">
        <v>1853</v>
      </c>
      <c r="D112" s="67">
        <v>2</v>
      </c>
      <c r="E112" s="68"/>
      <c r="F112" s="69">
        <v>32</v>
      </c>
      <c r="G112" s="66"/>
      <c r="H112" s="70"/>
      <c r="I112" s="71"/>
      <c r="J112" s="71"/>
      <c r="K112" s="34" t="s">
        <v>66</v>
      </c>
      <c r="L112" s="78">
        <v>112</v>
      </c>
      <c r="M112" s="78"/>
      <c r="N112" s="73"/>
      <c r="O112" s="80" t="s">
        <v>210</v>
      </c>
      <c r="P112" s="80" t="s">
        <v>196</v>
      </c>
      <c r="Q112" s="80" t="s">
        <v>720</v>
      </c>
      <c r="R112" s="80" t="s">
        <v>512</v>
      </c>
      <c r="S112" s="80" t="s">
        <v>974</v>
      </c>
      <c r="T112" s="82" t="str">
        <f>HYPERLINK("http://www.youtube.com/channel/UCNtxphdCgm2USyyvxY_6BSw")</f>
        <v>http://www.youtube.com/channel/UCNtxphdCgm2USyyvxY_6BSw</v>
      </c>
      <c r="U112" s="80"/>
      <c r="V112" s="80" t="s">
        <v>1204</v>
      </c>
      <c r="W112" s="82" t="str">
        <f>HYPERLINK("https://www.youtube.com/watch?v=zXJphXou0TE")</f>
        <v>https://www.youtube.com/watch?v=zXJphXou0TE</v>
      </c>
      <c r="X112" s="80" t="s">
        <v>213</v>
      </c>
      <c r="Y112" s="80">
        <v>1</v>
      </c>
      <c r="Z112" s="84">
        <v>43999.59409722222</v>
      </c>
      <c r="AA112" s="84">
        <v>43999.59409722222</v>
      </c>
      <c r="AB112" s="80"/>
      <c r="AC112" s="80"/>
      <c r="AD112" s="80"/>
      <c r="AE112" s="80">
        <v>1</v>
      </c>
      <c r="AF112" s="79" t="str">
        <f>REPLACE(INDEX(GroupVertices[Group],MATCH(Edges[[#This Row],[Vertex 1]],GroupVertices[Vertex],0)),1,1,"")</f>
        <v>6</v>
      </c>
      <c r="AG112" s="79" t="str">
        <f>REPLACE(INDEX(GroupVertices[Group],MATCH(Edges[[#This Row],[Vertex 2]],GroupVertices[Vertex],0)),1,1,"")</f>
        <v>6</v>
      </c>
      <c r="AH112" s="34"/>
      <c r="AI112" s="34"/>
      <c r="AJ112" s="34"/>
      <c r="AK112" s="34"/>
      <c r="AL112" s="34"/>
      <c r="AM112" s="34"/>
      <c r="AN112" s="34"/>
      <c r="AO112" s="34"/>
      <c r="AP112" s="34"/>
    </row>
    <row r="113" spans="1:42" ht="15">
      <c r="A113" s="65" t="s">
        <v>511</v>
      </c>
      <c r="B113" s="65" t="s">
        <v>513</v>
      </c>
      <c r="C113" s="66" t="s">
        <v>1853</v>
      </c>
      <c r="D113" s="67">
        <v>2</v>
      </c>
      <c r="E113" s="68"/>
      <c r="F113" s="69">
        <v>32</v>
      </c>
      <c r="G113" s="66"/>
      <c r="H113" s="70"/>
      <c r="I113" s="71"/>
      <c r="J113" s="71"/>
      <c r="K113" s="34" t="s">
        <v>66</v>
      </c>
      <c r="L113" s="78">
        <v>113</v>
      </c>
      <c r="M113" s="78"/>
      <c r="N113" s="73"/>
      <c r="O113" s="80" t="s">
        <v>211</v>
      </c>
      <c r="P113" s="80" t="s">
        <v>212</v>
      </c>
      <c r="Q113" s="80" t="s">
        <v>721</v>
      </c>
      <c r="R113" s="80" t="s">
        <v>511</v>
      </c>
      <c r="S113" s="80" t="s">
        <v>973</v>
      </c>
      <c r="T113" s="82" t="str">
        <f>HYPERLINK("http://www.youtube.com/channel/UCJ7UhloHSA4wAqPzyi6TOkw")</f>
        <v>http://www.youtube.com/channel/UCJ7UhloHSA4wAqPzyi6TOkw</v>
      </c>
      <c r="U113" s="80" t="s">
        <v>1111</v>
      </c>
      <c r="V113" s="80" t="s">
        <v>1204</v>
      </c>
      <c r="W113" s="82" t="str">
        <f>HYPERLINK("https://www.youtube.com/watch?v=zXJphXou0TE")</f>
        <v>https://www.youtube.com/watch?v=zXJphXou0TE</v>
      </c>
      <c r="X113" s="80" t="s">
        <v>213</v>
      </c>
      <c r="Y113" s="80">
        <v>0</v>
      </c>
      <c r="Z113" s="84">
        <v>43999.626875</v>
      </c>
      <c r="AA113" s="84">
        <v>43999.626875</v>
      </c>
      <c r="AB113" s="80"/>
      <c r="AC113" s="80"/>
      <c r="AD113" s="80"/>
      <c r="AE113" s="80">
        <v>1</v>
      </c>
      <c r="AF113" s="79" t="str">
        <f>REPLACE(INDEX(GroupVertices[Group],MATCH(Edges[[#This Row],[Vertex 1]],GroupVertices[Vertex],0)),1,1,"")</f>
        <v>6</v>
      </c>
      <c r="AG113" s="79" t="str">
        <f>REPLACE(INDEX(GroupVertices[Group],MATCH(Edges[[#This Row],[Vertex 2]],GroupVertices[Vertex],0)),1,1,"")</f>
        <v>6</v>
      </c>
      <c r="AH113" s="34"/>
      <c r="AI113" s="34"/>
      <c r="AJ113" s="34"/>
      <c r="AK113" s="34"/>
      <c r="AL113" s="34"/>
      <c r="AM113" s="34"/>
      <c r="AN113" s="34"/>
      <c r="AO113" s="34"/>
      <c r="AP113" s="34"/>
    </row>
    <row r="114" spans="1:42" ht="15">
      <c r="A114" s="65" t="s">
        <v>513</v>
      </c>
      <c r="B114" s="65" t="s">
        <v>511</v>
      </c>
      <c r="C114" s="66" t="s">
        <v>1853</v>
      </c>
      <c r="D114" s="67">
        <v>2</v>
      </c>
      <c r="E114" s="68"/>
      <c r="F114" s="69">
        <v>32</v>
      </c>
      <c r="G114" s="66"/>
      <c r="H114" s="70"/>
      <c r="I114" s="71"/>
      <c r="J114" s="71"/>
      <c r="K114" s="34" t="s">
        <v>66</v>
      </c>
      <c r="L114" s="78">
        <v>114</v>
      </c>
      <c r="M114" s="78"/>
      <c r="N114" s="73"/>
      <c r="O114" s="80" t="s">
        <v>210</v>
      </c>
      <c r="P114" s="80" t="s">
        <v>196</v>
      </c>
      <c r="Q114" s="80" t="s">
        <v>722</v>
      </c>
      <c r="R114" s="80" t="s">
        <v>513</v>
      </c>
      <c r="S114" s="80" t="s">
        <v>975</v>
      </c>
      <c r="T114" s="82" t="str">
        <f>HYPERLINK("http://www.youtube.com/channel/UCYHnVKMDox5besxqEIkroww")</f>
        <v>http://www.youtube.com/channel/UCYHnVKMDox5besxqEIkroww</v>
      </c>
      <c r="U114" s="80"/>
      <c r="V114" s="80" t="s">
        <v>1204</v>
      </c>
      <c r="W114" s="82" t="str">
        <f>HYPERLINK("https://www.youtube.com/watch?v=zXJphXou0TE")</f>
        <v>https://www.youtube.com/watch?v=zXJphXou0TE</v>
      </c>
      <c r="X114" s="80" t="s">
        <v>213</v>
      </c>
      <c r="Y114" s="80">
        <v>0</v>
      </c>
      <c r="Z114" s="84">
        <v>43999.599340277775</v>
      </c>
      <c r="AA114" s="84">
        <v>43999.599340277775</v>
      </c>
      <c r="AB114" s="80"/>
      <c r="AC114" s="80"/>
      <c r="AD114" s="80"/>
      <c r="AE114" s="80">
        <v>1</v>
      </c>
      <c r="AF114" s="79" t="str">
        <f>REPLACE(INDEX(GroupVertices[Group],MATCH(Edges[[#This Row],[Vertex 1]],GroupVertices[Vertex],0)),1,1,"")</f>
        <v>6</v>
      </c>
      <c r="AG114" s="79" t="str">
        <f>REPLACE(INDEX(GroupVertices[Group],MATCH(Edges[[#This Row],[Vertex 2]],GroupVertices[Vertex],0)),1,1,"")</f>
        <v>6</v>
      </c>
      <c r="AH114" s="34"/>
      <c r="AI114" s="34"/>
      <c r="AJ114" s="34"/>
      <c r="AK114" s="34"/>
      <c r="AL114" s="34"/>
      <c r="AM114" s="34"/>
      <c r="AN114" s="34"/>
      <c r="AO114" s="34"/>
      <c r="AP114" s="34"/>
    </row>
    <row r="115" spans="1:42" ht="15">
      <c r="A115" s="65" t="s">
        <v>511</v>
      </c>
      <c r="B115" s="65" t="s">
        <v>514</v>
      </c>
      <c r="C115" s="66" t="s">
        <v>1853</v>
      </c>
      <c r="D115" s="67">
        <v>2</v>
      </c>
      <c r="E115" s="68"/>
      <c r="F115" s="69">
        <v>32</v>
      </c>
      <c r="G115" s="66"/>
      <c r="H115" s="70"/>
      <c r="I115" s="71"/>
      <c r="J115" s="71"/>
      <c r="K115" s="34" t="s">
        <v>66</v>
      </c>
      <c r="L115" s="78">
        <v>115</v>
      </c>
      <c r="M115" s="78"/>
      <c r="N115" s="73"/>
      <c r="O115" s="80" t="s">
        <v>211</v>
      </c>
      <c r="P115" s="80" t="s">
        <v>212</v>
      </c>
      <c r="Q115" s="80" t="s">
        <v>723</v>
      </c>
      <c r="R115" s="80" t="s">
        <v>511</v>
      </c>
      <c r="S115" s="80" t="s">
        <v>973</v>
      </c>
      <c r="T115" s="82" t="str">
        <f>HYPERLINK("http://www.youtube.com/channel/UCJ7UhloHSA4wAqPzyi6TOkw")</f>
        <v>http://www.youtube.com/channel/UCJ7UhloHSA4wAqPzyi6TOkw</v>
      </c>
      <c r="U115" s="80" t="s">
        <v>1112</v>
      </c>
      <c r="V115" s="80" t="s">
        <v>1204</v>
      </c>
      <c r="W115" s="82" t="str">
        <f>HYPERLINK("https://www.youtube.com/watch?v=zXJphXou0TE")</f>
        <v>https://www.youtube.com/watch?v=zXJphXou0TE</v>
      </c>
      <c r="X115" s="80" t="s">
        <v>213</v>
      </c>
      <c r="Y115" s="80">
        <v>0</v>
      </c>
      <c r="Z115" s="84">
        <v>43999.62584490741</v>
      </c>
      <c r="AA115" s="84">
        <v>43999.62584490741</v>
      </c>
      <c r="AB115" s="80"/>
      <c r="AC115" s="80"/>
      <c r="AD115" s="80"/>
      <c r="AE115" s="80">
        <v>1</v>
      </c>
      <c r="AF115" s="79" t="str">
        <f>REPLACE(INDEX(GroupVertices[Group],MATCH(Edges[[#This Row],[Vertex 1]],GroupVertices[Vertex],0)),1,1,"")</f>
        <v>6</v>
      </c>
      <c r="AG115" s="79" t="str">
        <f>REPLACE(INDEX(GroupVertices[Group],MATCH(Edges[[#This Row],[Vertex 2]],GroupVertices[Vertex],0)),1,1,"")</f>
        <v>6</v>
      </c>
      <c r="AH115" s="34"/>
      <c r="AI115" s="34"/>
      <c r="AJ115" s="34"/>
      <c r="AK115" s="34"/>
      <c r="AL115" s="34"/>
      <c r="AM115" s="34"/>
      <c r="AN115" s="34"/>
      <c r="AO115" s="34"/>
      <c r="AP115" s="34"/>
    </row>
    <row r="116" spans="1:42" ht="15">
      <c r="A116" s="65" t="s">
        <v>514</v>
      </c>
      <c r="B116" s="65" t="s">
        <v>511</v>
      </c>
      <c r="C116" s="66" t="s">
        <v>1853</v>
      </c>
      <c r="D116" s="67">
        <v>2</v>
      </c>
      <c r="E116" s="68"/>
      <c r="F116" s="69">
        <v>32</v>
      </c>
      <c r="G116" s="66"/>
      <c r="H116" s="70"/>
      <c r="I116" s="71"/>
      <c r="J116" s="71"/>
      <c r="K116" s="34" t="s">
        <v>66</v>
      </c>
      <c r="L116" s="78">
        <v>116</v>
      </c>
      <c r="M116" s="78"/>
      <c r="N116" s="73"/>
      <c r="O116" s="80" t="s">
        <v>210</v>
      </c>
      <c r="P116" s="80" t="s">
        <v>196</v>
      </c>
      <c r="Q116" s="80" t="s">
        <v>724</v>
      </c>
      <c r="R116" s="80" t="s">
        <v>514</v>
      </c>
      <c r="S116" s="80" t="s">
        <v>976</v>
      </c>
      <c r="T116" s="82" t="str">
        <f>HYPERLINK("http://www.youtube.com/channel/UCiofLi27n8sgbewHe6Bv-5A")</f>
        <v>http://www.youtube.com/channel/UCiofLi27n8sgbewHe6Bv-5A</v>
      </c>
      <c r="U116" s="80"/>
      <c r="V116" s="80" t="s">
        <v>1204</v>
      </c>
      <c r="W116" s="82" t="str">
        <f>HYPERLINK("https://www.youtube.com/watch?v=zXJphXou0TE")</f>
        <v>https://www.youtube.com/watch?v=zXJphXou0TE</v>
      </c>
      <c r="X116" s="80" t="s">
        <v>213</v>
      </c>
      <c r="Y116" s="80">
        <v>1</v>
      </c>
      <c r="Z116" s="84">
        <v>43999.60716435185</v>
      </c>
      <c r="AA116" s="84">
        <v>43999.60716435185</v>
      </c>
      <c r="AB116" s="80"/>
      <c r="AC116" s="80"/>
      <c r="AD116" s="80"/>
      <c r="AE116" s="80">
        <v>1</v>
      </c>
      <c r="AF116" s="79" t="str">
        <f>REPLACE(INDEX(GroupVertices[Group],MATCH(Edges[[#This Row],[Vertex 1]],GroupVertices[Vertex],0)),1,1,"")</f>
        <v>6</v>
      </c>
      <c r="AG116" s="79" t="str">
        <f>REPLACE(INDEX(GroupVertices[Group],MATCH(Edges[[#This Row],[Vertex 2]],GroupVertices[Vertex],0)),1,1,"")</f>
        <v>6</v>
      </c>
      <c r="AH116" s="34"/>
      <c r="AI116" s="34"/>
      <c r="AJ116" s="34"/>
      <c r="AK116" s="34"/>
      <c r="AL116" s="34"/>
      <c r="AM116" s="34"/>
      <c r="AN116" s="34"/>
      <c r="AO116" s="34"/>
      <c r="AP116" s="34"/>
    </row>
    <row r="117" spans="1:42" ht="15">
      <c r="A117" s="65" t="s">
        <v>515</v>
      </c>
      <c r="B117" s="65" t="s">
        <v>516</v>
      </c>
      <c r="C117" s="66" t="s">
        <v>1853</v>
      </c>
      <c r="D117" s="67">
        <v>2</v>
      </c>
      <c r="E117" s="68"/>
      <c r="F117" s="69">
        <v>32</v>
      </c>
      <c r="G117" s="66"/>
      <c r="H117" s="70"/>
      <c r="I117" s="71"/>
      <c r="J117" s="71"/>
      <c r="K117" s="34" t="s">
        <v>65</v>
      </c>
      <c r="L117" s="78">
        <v>117</v>
      </c>
      <c r="M117" s="78"/>
      <c r="N117" s="73"/>
      <c r="O117" s="80" t="s">
        <v>211</v>
      </c>
      <c r="P117" s="80" t="s">
        <v>212</v>
      </c>
      <c r="Q117" s="80" t="s">
        <v>725</v>
      </c>
      <c r="R117" s="80" t="s">
        <v>515</v>
      </c>
      <c r="S117" s="80" t="s">
        <v>977</v>
      </c>
      <c r="T117" s="82" t="str">
        <f>HYPERLINK("http://www.youtube.com/channel/UCO6Xy7gs7SfTHfGT6cyQ2tw")</f>
        <v>http://www.youtube.com/channel/UCO6Xy7gs7SfTHfGT6cyQ2tw</v>
      </c>
      <c r="U117" s="80" t="s">
        <v>1113</v>
      </c>
      <c r="V117" s="80" t="s">
        <v>1204</v>
      </c>
      <c r="W117" s="82" t="str">
        <f>HYPERLINK("https://www.youtube.com/watch?v=zXJphXou0TE")</f>
        <v>https://www.youtube.com/watch?v=zXJphXou0TE</v>
      </c>
      <c r="X117" s="80" t="s">
        <v>213</v>
      </c>
      <c r="Y117" s="80">
        <v>0</v>
      </c>
      <c r="Z117" s="84">
        <v>44000.80237268518</v>
      </c>
      <c r="AA117" s="84">
        <v>44000.80237268518</v>
      </c>
      <c r="AB117" s="80"/>
      <c r="AC117" s="80"/>
      <c r="AD117" s="80"/>
      <c r="AE117" s="80">
        <v>1</v>
      </c>
      <c r="AF117" s="79" t="str">
        <f>REPLACE(INDEX(GroupVertices[Group],MATCH(Edges[[#This Row],[Vertex 1]],GroupVertices[Vertex],0)),1,1,"")</f>
        <v>6</v>
      </c>
      <c r="AG117" s="79" t="str">
        <f>REPLACE(INDEX(GroupVertices[Group],MATCH(Edges[[#This Row],[Vertex 2]],GroupVertices[Vertex],0)),1,1,"")</f>
        <v>6</v>
      </c>
      <c r="AH117" s="34"/>
      <c r="AI117" s="34"/>
      <c r="AJ117" s="34"/>
      <c r="AK117" s="34"/>
      <c r="AL117" s="34"/>
      <c r="AM117" s="34"/>
      <c r="AN117" s="34"/>
      <c r="AO117" s="34"/>
      <c r="AP117" s="34"/>
    </row>
    <row r="118" spans="1:42" ht="15">
      <c r="A118" s="65" t="s">
        <v>511</v>
      </c>
      <c r="B118" s="65" t="s">
        <v>516</v>
      </c>
      <c r="C118" s="66" t="s">
        <v>1853</v>
      </c>
      <c r="D118" s="67">
        <v>2</v>
      </c>
      <c r="E118" s="68"/>
      <c r="F118" s="69">
        <v>32</v>
      </c>
      <c r="G118" s="66"/>
      <c r="H118" s="70"/>
      <c r="I118" s="71"/>
      <c r="J118" s="71"/>
      <c r="K118" s="34" t="s">
        <v>66</v>
      </c>
      <c r="L118" s="78">
        <v>118</v>
      </c>
      <c r="M118" s="78"/>
      <c r="N118" s="73"/>
      <c r="O118" s="80" t="s">
        <v>211</v>
      </c>
      <c r="P118" s="80" t="s">
        <v>212</v>
      </c>
      <c r="Q118" s="80" t="s">
        <v>726</v>
      </c>
      <c r="R118" s="80" t="s">
        <v>511</v>
      </c>
      <c r="S118" s="80" t="s">
        <v>973</v>
      </c>
      <c r="T118" s="82" t="str">
        <f>HYPERLINK("http://www.youtube.com/channel/UCJ7UhloHSA4wAqPzyi6TOkw")</f>
        <v>http://www.youtube.com/channel/UCJ7UhloHSA4wAqPzyi6TOkw</v>
      </c>
      <c r="U118" s="80" t="s">
        <v>1113</v>
      </c>
      <c r="V118" s="80" t="s">
        <v>1204</v>
      </c>
      <c r="W118" s="82" t="str">
        <f>HYPERLINK("https://www.youtube.com/watch?v=zXJphXou0TE")</f>
        <v>https://www.youtube.com/watch?v=zXJphXou0TE</v>
      </c>
      <c r="X118" s="80" t="s">
        <v>213</v>
      </c>
      <c r="Y118" s="80">
        <v>1</v>
      </c>
      <c r="Z118" s="84">
        <v>43999.626597222225</v>
      </c>
      <c r="AA118" s="84">
        <v>43999.626597222225</v>
      </c>
      <c r="AB118" s="80"/>
      <c r="AC118" s="80"/>
      <c r="AD118" s="80"/>
      <c r="AE118" s="80">
        <v>1</v>
      </c>
      <c r="AF118" s="79" t="str">
        <f>REPLACE(INDEX(GroupVertices[Group],MATCH(Edges[[#This Row],[Vertex 1]],GroupVertices[Vertex],0)),1,1,"")</f>
        <v>6</v>
      </c>
      <c r="AG118" s="79" t="str">
        <f>REPLACE(INDEX(GroupVertices[Group],MATCH(Edges[[#This Row],[Vertex 2]],GroupVertices[Vertex],0)),1,1,"")</f>
        <v>6</v>
      </c>
      <c r="AH118" s="34"/>
      <c r="AI118" s="34"/>
      <c r="AJ118" s="34"/>
      <c r="AK118" s="34"/>
      <c r="AL118" s="34"/>
      <c r="AM118" s="34"/>
      <c r="AN118" s="34"/>
      <c r="AO118" s="34"/>
      <c r="AP118" s="34"/>
    </row>
    <row r="119" spans="1:42" ht="15">
      <c r="A119" s="65" t="s">
        <v>516</v>
      </c>
      <c r="B119" s="65" t="s">
        <v>516</v>
      </c>
      <c r="C119" s="66" t="s">
        <v>1833</v>
      </c>
      <c r="D119" s="67">
        <v>2</v>
      </c>
      <c r="E119" s="68"/>
      <c r="F119" s="69">
        <v>32</v>
      </c>
      <c r="G119" s="66"/>
      <c r="H119" s="70"/>
      <c r="I119" s="71"/>
      <c r="J119" s="71"/>
      <c r="K119" s="34" t="s">
        <v>65</v>
      </c>
      <c r="L119" s="78">
        <v>119</v>
      </c>
      <c r="M119" s="78"/>
      <c r="N119" s="73"/>
      <c r="O119" s="80" t="s">
        <v>211</v>
      </c>
      <c r="P119" s="80" t="s">
        <v>212</v>
      </c>
      <c r="Q119" s="80" t="s">
        <v>727</v>
      </c>
      <c r="R119" s="80" t="s">
        <v>516</v>
      </c>
      <c r="S119" s="80" t="s">
        <v>978</v>
      </c>
      <c r="T119" s="82" t="str">
        <f>HYPERLINK("http://www.youtube.com/channel/UC6ow7v_YFqcyJQX72HlSewg")</f>
        <v>http://www.youtube.com/channel/UC6ow7v_YFqcyJQX72HlSewg</v>
      </c>
      <c r="U119" s="80" t="s">
        <v>1113</v>
      </c>
      <c r="V119" s="80" t="s">
        <v>1204</v>
      </c>
      <c r="W119" s="82" t="str">
        <f>HYPERLINK("https://www.youtube.com/watch?v=zXJphXou0TE")</f>
        <v>https://www.youtube.com/watch?v=zXJphXou0TE</v>
      </c>
      <c r="X119" s="80" t="s">
        <v>213</v>
      </c>
      <c r="Y119" s="80">
        <v>0</v>
      </c>
      <c r="Z119" s="84">
        <v>43999.69501157408</v>
      </c>
      <c r="AA119" s="84">
        <v>43999.69501157408</v>
      </c>
      <c r="AB119" s="80"/>
      <c r="AC119" s="80"/>
      <c r="AD119" s="80"/>
      <c r="AE119" s="80">
        <v>2</v>
      </c>
      <c r="AF119" s="79" t="str">
        <f>REPLACE(INDEX(GroupVertices[Group],MATCH(Edges[[#This Row],[Vertex 1]],GroupVertices[Vertex],0)),1,1,"")</f>
        <v>6</v>
      </c>
      <c r="AG119" s="79" t="str">
        <f>REPLACE(INDEX(GroupVertices[Group],MATCH(Edges[[#This Row],[Vertex 2]],GroupVertices[Vertex],0)),1,1,"")</f>
        <v>6</v>
      </c>
      <c r="AH119" s="34"/>
      <c r="AI119" s="34"/>
      <c r="AJ119" s="34"/>
      <c r="AK119" s="34"/>
      <c r="AL119" s="34"/>
      <c r="AM119" s="34"/>
      <c r="AN119" s="34"/>
      <c r="AO119" s="34"/>
      <c r="AP119" s="34"/>
    </row>
    <row r="120" spans="1:42" ht="15">
      <c r="A120" s="65" t="s">
        <v>516</v>
      </c>
      <c r="B120" s="65" t="s">
        <v>516</v>
      </c>
      <c r="C120" s="66" t="s">
        <v>1833</v>
      </c>
      <c r="D120" s="67">
        <v>2</v>
      </c>
      <c r="E120" s="68"/>
      <c r="F120" s="69">
        <v>32</v>
      </c>
      <c r="G120" s="66"/>
      <c r="H120" s="70"/>
      <c r="I120" s="71"/>
      <c r="J120" s="71"/>
      <c r="K120" s="34" t="s">
        <v>65</v>
      </c>
      <c r="L120" s="78">
        <v>120</v>
      </c>
      <c r="M120" s="78"/>
      <c r="N120" s="73"/>
      <c r="O120" s="80" t="s">
        <v>211</v>
      </c>
      <c r="P120" s="80" t="s">
        <v>212</v>
      </c>
      <c r="Q120" s="80" t="s">
        <v>728</v>
      </c>
      <c r="R120" s="80" t="s">
        <v>516</v>
      </c>
      <c r="S120" s="80" t="s">
        <v>978</v>
      </c>
      <c r="T120" s="82" t="str">
        <f>HYPERLINK("http://www.youtube.com/channel/UC6ow7v_YFqcyJQX72HlSewg")</f>
        <v>http://www.youtube.com/channel/UC6ow7v_YFqcyJQX72HlSewg</v>
      </c>
      <c r="U120" s="80" t="s">
        <v>1113</v>
      </c>
      <c r="V120" s="80" t="s">
        <v>1204</v>
      </c>
      <c r="W120" s="82" t="str">
        <f>HYPERLINK("https://www.youtube.com/watch?v=zXJphXou0TE")</f>
        <v>https://www.youtube.com/watch?v=zXJphXou0TE</v>
      </c>
      <c r="X120" s="80" t="s">
        <v>213</v>
      </c>
      <c r="Y120" s="80">
        <v>0</v>
      </c>
      <c r="Z120" s="84">
        <v>43999.98378472222</v>
      </c>
      <c r="AA120" s="84">
        <v>43999.98378472222</v>
      </c>
      <c r="AB120" s="80"/>
      <c r="AC120" s="80"/>
      <c r="AD120" s="80"/>
      <c r="AE120" s="80">
        <v>2</v>
      </c>
      <c r="AF120" s="79" t="str">
        <f>REPLACE(INDEX(GroupVertices[Group],MATCH(Edges[[#This Row],[Vertex 1]],GroupVertices[Vertex],0)),1,1,"")</f>
        <v>6</v>
      </c>
      <c r="AG120" s="79" t="str">
        <f>REPLACE(INDEX(GroupVertices[Group],MATCH(Edges[[#This Row],[Vertex 2]],GroupVertices[Vertex],0)),1,1,"")</f>
        <v>6</v>
      </c>
      <c r="AH120" s="34"/>
      <c r="AI120" s="34"/>
      <c r="AJ120" s="34"/>
      <c r="AK120" s="34"/>
      <c r="AL120" s="34"/>
      <c r="AM120" s="34"/>
      <c r="AN120" s="34"/>
      <c r="AO120" s="34"/>
      <c r="AP120" s="34"/>
    </row>
    <row r="121" spans="1:42" ht="15">
      <c r="A121" s="65" t="s">
        <v>516</v>
      </c>
      <c r="B121" s="65" t="s">
        <v>511</v>
      </c>
      <c r="C121" s="66" t="s">
        <v>1853</v>
      </c>
      <c r="D121" s="67">
        <v>2</v>
      </c>
      <c r="E121" s="68"/>
      <c r="F121" s="69">
        <v>32</v>
      </c>
      <c r="G121" s="66"/>
      <c r="H121" s="70"/>
      <c r="I121" s="71"/>
      <c r="J121" s="71"/>
      <c r="K121" s="34" t="s">
        <v>66</v>
      </c>
      <c r="L121" s="78">
        <v>121</v>
      </c>
      <c r="M121" s="78"/>
      <c r="N121" s="73"/>
      <c r="O121" s="80" t="s">
        <v>210</v>
      </c>
      <c r="P121" s="80" t="s">
        <v>196</v>
      </c>
      <c r="Q121" s="80" t="s">
        <v>729</v>
      </c>
      <c r="R121" s="80" t="s">
        <v>516</v>
      </c>
      <c r="S121" s="80" t="s">
        <v>978</v>
      </c>
      <c r="T121" s="82" t="str">
        <f>HYPERLINK("http://www.youtube.com/channel/UC6ow7v_YFqcyJQX72HlSewg")</f>
        <v>http://www.youtube.com/channel/UC6ow7v_YFqcyJQX72HlSewg</v>
      </c>
      <c r="U121" s="80"/>
      <c r="V121" s="80" t="s">
        <v>1204</v>
      </c>
      <c r="W121" s="82" t="str">
        <f>HYPERLINK("https://www.youtube.com/watch?v=zXJphXou0TE")</f>
        <v>https://www.youtube.com/watch?v=zXJphXou0TE</v>
      </c>
      <c r="X121" s="80" t="s">
        <v>213</v>
      </c>
      <c r="Y121" s="80">
        <v>0</v>
      </c>
      <c r="Z121" s="84">
        <v>43999.607824074075</v>
      </c>
      <c r="AA121" s="84">
        <v>43999.607824074075</v>
      </c>
      <c r="AB121" s="80" t="s">
        <v>1234</v>
      </c>
      <c r="AC121" s="80" t="s">
        <v>214</v>
      </c>
      <c r="AD121" s="80"/>
      <c r="AE121" s="80">
        <v>1</v>
      </c>
      <c r="AF121" s="79" t="str">
        <f>REPLACE(INDEX(GroupVertices[Group],MATCH(Edges[[#This Row],[Vertex 1]],GroupVertices[Vertex],0)),1,1,"")</f>
        <v>6</v>
      </c>
      <c r="AG121" s="79" t="str">
        <f>REPLACE(INDEX(GroupVertices[Group],MATCH(Edges[[#This Row],[Vertex 2]],GroupVertices[Vertex],0)),1,1,"")</f>
        <v>6</v>
      </c>
      <c r="AH121" s="34"/>
      <c r="AI121" s="34"/>
      <c r="AJ121" s="34"/>
      <c r="AK121" s="34"/>
      <c r="AL121" s="34"/>
      <c r="AM121" s="34"/>
      <c r="AN121" s="34"/>
      <c r="AO121" s="34"/>
      <c r="AP121" s="34"/>
    </row>
    <row r="122" spans="1:42" ht="15">
      <c r="A122" s="65" t="s">
        <v>511</v>
      </c>
      <c r="B122" s="65" t="s">
        <v>517</v>
      </c>
      <c r="C122" s="66" t="s">
        <v>1853</v>
      </c>
      <c r="D122" s="67">
        <v>2</v>
      </c>
      <c r="E122" s="68"/>
      <c r="F122" s="69">
        <v>32</v>
      </c>
      <c r="G122" s="66"/>
      <c r="H122" s="70"/>
      <c r="I122" s="71"/>
      <c r="J122" s="71"/>
      <c r="K122" s="34" t="s">
        <v>66</v>
      </c>
      <c r="L122" s="78">
        <v>122</v>
      </c>
      <c r="M122" s="78"/>
      <c r="N122" s="73"/>
      <c r="O122" s="80" t="s">
        <v>211</v>
      </c>
      <c r="P122" s="80" t="s">
        <v>212</v>
      </c>
      <c r="Q122" s="80" t="s">
        <v>730</v>
      </c>
      <c r="R122" s="80" t="s">
        <v>511</v>
      </c>
      <c r="S122" s="80" t="s">
        <v>973</v>
      </c>
      <c r="T122" s="82" t="str">
        <f>HYPERLINK("http://www.youtube.com/channel/UCJ7UhloHSA4wAqPzyi6TOkw")</f>
        <v>http://www.youtube.com/channel/UCJ7UhloHSA4wAqPzyi6TOkw</v>
      </c>
      <c r="U122" s="80" t="s">
        <v>1114</v>
      </c>
      <c r="V122" s="80" t="s">
        <v>1204</v>
      </c>
      <c r="W122" s="82" t="str">
        <f>HYPERLINK("https://www.youtube.com/watch?v=zXJphXou0TE")</f>
        <v>https://www.youtube.com/watch?v=zXJphXou0TE</v>
      </c>
      <c r="X122" s="80" t="s">
        <v>213</v>
      </c>
      <c r="Y122" s="80">
        <v>1</v>
      </c>
      <c r="Z122" s="84">
        <v>44000.72806712963</v>
      </c>
      <c r="AA122" s="84">
        <v>44000.72806712963</v>
      </c>
      <c r="AB122" s="80"/>
      <c r="AC122" s="80"/>
      <c r="AD122" s="80"/>
      <c r="AE122" s="80">
        <v>1</v>
      </c>
      <c r="AF122" s="79" t="str">
        <f>REPLACE(INDEX(GroupVertices[Group],MATCH(Edges[[#This Row],[Vertex 1]],GroupVertices[Vertex],0)),1,1,"")</f>
        <v>6</v>
      </c>
      <c r="AG122" s="79" t="str">
        <f>REPLACE(INDEX(GroupVertices[Group],MATCH(Edges[[#This Row],[Vertex 2]],GroupVertices[Vertex],0)),1,1,"")</f>
        <v>6</v>
      </c>
      <c r="AH122" s="34"/>
      <c r="AI122" s="34"/>
      <c r="AJ122" s="34"/>
      <c r="AK122" s="34"/>
      <c r="AL122" s="34"/>
      <c r="AM122" s="34"/>
      <c r="AN122" s="34"/>
      <c r="AO122" s="34"/>
      <c r="AP122" s="34"/>
    </row>
    <row r="123" spans="1:42" ht="15">
      <c r="A123" s="65" t="s">
        <v>517</v>
      </c>
      <c r="B123" s="65" t="s">
        <v>517</v>
      </c>
      <c r="C123" s="66" t="s">
        <v>1853</v>
      </c>
      <c r="D123" s="67">
        <v>2</v>
      </c>
      <c r="E123" s="68"/>
      <c r="F123" s="69">
        <v>32</v>
      </c>
      <c r="G123" s="66"/>
      <c r="H123" s="70"/>
      <c r="I123" s="71"/>
      <c r="J123" s="71"/>
      <c r="K123" s="34" t="s">
        <v>65</v>
      </c>
      <c r="L123" s="78">
        <v>123</v>
      </c>
      <c r="M123" s="78"/>
      <c r="N123" s="73"/>
      <c r="O123" s="80" t="s">
        <v>211</v>
      </c>
      <c r="P123" s="80" t="s">
        <v>212</v>
      </c>
      <c r="Q123" s="80" t="s">
        <v>731</v>
      </c>
      <c r="R123" s="80" t="s">
        <v>517</v>
      </c>
      <c r="S123" s="80" t="s">
        <v>979</v>
      </c>
      <c r="T123" s="82" t="str">
        <f>HYPERLINK("http://www.youtube.com/channel/UCFkCY2Xtq7Icg5SvH0eERMQ")</f>
        <v>http://www.youtube.com/channel/UCFkCY2Xtq7Icg5SvH0eERMQ</v>
      </c>
      <c r="U123" s="80" t="s">
        <v>1114</v>
      </c>
      <c r="V123" s="80" t="s">
        <v>1204</v>
      </c>
      <c r="W123" s="82" t="str">
        <f>HYPERLINK("https://www.youtube.com/watch?v=zXJphXou0TE")</f>
        <v>https://www.youtube.com/watch?v=zXJphXou0TE</v>
      </c>
      <c r="X123" s="80" t="s">
        <v>213</v>
      </c>
      <c r="Y123" s="80">
        <v>0</v>
      </c>
      <c r="Z123" s="84">
        <v>44000.72914351852</v>
      </c>
      <c r="AA123" s="84">
        <v>44000.72914351852</v>
      </c>
      <c r="AB123" s="80"/>
      <c r="AC123" s="80"/>
      <c r="AD123" s="80"/>
      <c r="AE123" s="80">
        <v>1</v>
      </c>
      <c r="AF123" s="79" t="str">
        <f>REPLACE(INDEX(GroupVertices[Group],MATCH(Edges[[#This Row],[Vertex 1]],GroupVertices[Vertex],0)),1,1,"")</f>
        <v>6</v>
      </c>
      <c r="AG123" s="79" t="str">
        <f>REPLACE(INDEX(GroupVertices[Group],MATCH(Edges[[#This Row],[Vertex 2]],GroupVertices[Vertex],0)),1,1,"")</f>
        <v>6</v>
      </c>
      <c r="AH123" s="34"/>
      <c r="AI123" s="34"/>
      <c r="AJ123" s="34"/>
      <c r="AK123" s="34"/>
      <c r="AL123" s="34"/>
      <c r="AM123" s="34"/>
      <c r="AN123" s="34"/>
      <c r="AO123" s="34"/>
      <c r="AP123" s="34"/>
    </row>
    <row r="124" spans="1:42" ht="15">
      <c r="A124" s="65" t="s">
        <v>517</v>
      </c>
      <c r="B124" s="65" t="s">
        <v>511</v>
      </c>
      <c r="C124" s="66" t="s">
        <v>1853</v>
      </c>
      <c r="D124" s="67">
        <v>2</v>
      </c>
      <c r="E124" s="68"/>
      <c r="F124" s="69">
        <v>32</v>
      </c>
      <c r="G124" s="66"/>
      <c r="H124" s="70"/>
      <c r="I124" s="71"/>
      <c r="J124" s="71"/>
      <c r="K124" s="34" t="s">
        <v>66</v>
      </c>
      <c r="L124" s="78">
        <v>124</v>
      </c>
      <c r="M124" s="78"/>
      <c r="N124" s="73"/>
      <c r="O124" s="80" t="s">
        <v>210</v>
      </c>
      <c r="P124" s="80" t="s">
        <v>196</v>
      </c>
      <c r="Q124" s="80" t="s">
        <v>732</v>
      </c>
      <c r="R124" s="80" t="s">
        <v>517</v>
      </c>
      <c r="S124" s="80" t="s">
        <v>979</v>
      </c>
      <c r="T124" s="82" t="str">
        <f>HYPERLINK("http://www.youtube.com/channel/UCFkCY2Xtq7Icg5SvH0eERMQ")</f>
        <v>http://www.youtube.com/channel/UCFkCY2Xtq7Icg5SvH0eERMQ</v>
      </c>
      <c r="U124" s="80"/>
      <c r="V124" s="80" t="s">
        <v>1204</v>
      </c>
      <c r="W124" s="82" t="str">
        <f>HYPERLINK("https://www.youtube.com/watch?v=zXJphXou0TE")</f>
        <v>https://www.youtube.com/watch?v=zXJphXou0TE</v>
      </c>
      <c r="X124" s="80" t="s">
        <v>213</v>
      </c>
      <c r="Y124" s="80">
        <v>0</v>
      </c>
      <c r="Z124" s="84">
        <v>44000.19055555556</v>
      </c>
      <c r="AA124" s="84">
        <v>44000.19055555556</v>
      </c>
      <c r="AB124" s="80"/>
      <c r="AC124" s="80"/>
      <c r="AD124" s="80"/>
      <c r="AE124" s="80">
        <v>1</v>
      </c>
      <c r="AF124" s="79" t="str">
        <f>REPLACE(INDEX(GroupVertices[Group],MATCH(Edges[[#This Row],[Vertex 1]],GroupVertices[Vertex],0)),1,1,"")</f>
        <v>6</v>
      </c>
      <c r="AG124" s="79" t="str">
        <f>REPLACE(INDEX(GroupVertices[Group],MATCH(Edges[[#This Row],[Vertex 2]],GroupVertices[Vertex],0)),1,1,"")</f>
        <v>6</v>
      </c>
      <c r="AH124" s="34"/>
      <c r="AI124" s="34"/>
      <c r="AJ124" s="34"/>
      <c r="AK124" s="34"/>
      <c r="AL124" s="34"/>
      <c r="AM124" s="34"/>
      <c r="AN124" s="34"/>
      <c r="AO124" s="34"/>
      <c r="AP124" s="34"/>
    </row>
    <row r="125" spans="1:42" ht="15">
      <c r="A125" s="65" t="s">
        <v>511</v>
      </c>
      <c r="B125" s="65" t="s">
        <v>518</v>
      </c>
      <c r="C125" s="66" t="s">
        <v>1853</v>
      </c>
      <c r="D125" s="67">
        <v>2</v>
      </c>
      <c r="E125" s="68"/>
      <c r="F125" s="69">
        <v>32</v>
      </c>
      <c r="G125" s="66"/>
      <c r="H125" s="70"/>
      <c r="I125" s="71"/>
      <c r="J125" s="71"/>
      <c r="K125" s="34" t="s">
        <v>66</v>
      </c>
      <c r="L125" s="78">
        <v>125</v>
      </c>
      <c r="M125" s="78"/>
      <c r="N125" s="73"/>
      <c r="O125" s="80" t="s">
        <v>211</v>
      </c>
      <c r="P125" s="80" t="s">
        <v>212</v>
      </c>
      <c r="Q125" s="80" t="s">
        <v>733</v>
      </c>
      <c r="R125" s="80" t="s">
        <v>511</v>
      </c>
      <c r="S125" s="80" t="s">
        <v>973</v>
      </c>
      <c r="T125" s="82" t="str">
        <f>HYPERLINK("http://www.youtube.com/channel/UCJ7UhloHSA4wAqPzyi6TOkw")</f>
        <v>http://www.youtube.com/channel/UCJ7UhloHSA4wAqPzyi6TOkw</v>
      </c>
      <c r="U125" s="80" t="s">
        <v>1115</v>
      </c>
      <c r="V125" s="80" t="s">
        <v>1204</v>
      </c>
      <c r="W125" s="82" t="str">
        <f>HYPERLINK("https://www.youtube.com/watch?v=zXJphXou0TE")</f>
        <v>https://www.youtube.com/watch?v=zXJphXou0TE</v>
      </c>
      <c r="X125" s="80" t="s">
        <v>213</v>
      </c>
      <c r="Y125" s="80">
        <v>1</v>
      </c>
      <c r="Z125" s="84">
        <v>44000.72837962963</v>
      </c>
      <c r="AA125" s="84">
        <v>44000.72837962963</v>
      </c>
      <c r="AB125" s="80"/>
      <c r="AC125" s="80"/>
      <c r="AD125" s="80"/>
      <c r="AE125" s="80">
        <v>1</v>
      </c>
      <c r="AF125" s="79" t="str">
        <f>REPLACE(INDEX(GroupVertices[Group],MATCH(Edges[[#This Row],[Vertex 1]],GroupVertices[Vertex],0)),1,1,"")</f>
        <v>6</v>
      </c>
      <c r="AG125" s="79" t="str">
        <f>REPLACE(INDEX(GroupVertices[Group],MATCH(Edges[[#This Row],[Vertex 2]],GroupVertices[Vertex],0)),1,1,"")</f>
        <v>6</v>
      </c>
      <c r="AH125" s="34"/>
      <c r="AI125" s="34"/>
      <c r="AJ125" s="34"/>
      <c r="AK125" s="34"/>
      <c r="AL125" s="34"/>
      <c r="AM125" s="34"/>
      <c r="AN125" s="34"/>
      <c r="AO125" s="34"/>
      <c r="AP125" s="34"/>
    </row>
    <row r="126" spans="1:42" ht="15">
      <c r="A126" s="65" t="s">
        <v>518</v>
      </c>
      <c r="B126" s="65" t="s">
        <v>511</v>
      </c>
      <c r="C126" s="66" t="s">
        <v>1853</v>
      </c>
      <c r="D126" s="67">
        <v>2</v>
      </c>
      <c r="E126" s="68"/>
      <c r="F126" s="69">
        <v>32</v>
      </c>
      <c r="G126" s="66"/>
      <c r="H126" s="70"/>
      <c r="I126" s="71"/>
      <c r="J126" s="71"/>
      <c r="K126" s="34" t="s">
        <v>66</v>
      </c>
      <c r="L126" s="78">
        <v>126</v>
      </c>
      <c r="M126" s="78"/>
      <c r="N126" s="73"/>
      <c r="O126" s="80" t="s">
        <v>210</v>
      </c>
      <c r="P126" s="80" t="s">
        <v>196</v>
      </c>
      <c r="Q126" s="80" t="s">
        <v>734</v>
      </c>
      <c r="R126" s="80" t="s">
        <v>518</v>
      </c>
      <c r="S126" s="80" t="s">
        <v>980</v>
      </c>
      <c r="T126" s="82" t="str">
        <f>HYPERLINK("http://www.youtube.com/channel/UCsnM-iHGWJ6wp5RMZbo2UJg")</f>
        <v>http://www.youtube.com/channel/UCsnM-iHGWJ6wp5RMZbo2UJg</v>
      </c>
      <c r="U126" s="80"/>
      <c r="V126" s="80" t="s">
        <v>1204</v>
      </c>
      <c r="W126" s="82" t="str">
        <f>HYPERLINK("https://www.youtube.com/watch?v=zXJphXou0TE")</f>
        <v>https://www.youtube.com/watch?v=zXJphXou0TE</v>
      </c>
      <c r="X126" s="80" t="s">
        <v>213</v>
      </c>
      <c r="Y126" s="80">
        <v>0</v>
      </c>
      <c r="Z126" s="84">
        <v>44000.45995370371</v>
      </c>
      <c r="AA126" s="84">
        <v>44000.45995370371</v>
      </c>
      <c r="AB126" s="80"/>
      <c r="AC126" s="80"/>
      <c r="AD126" s="80"/>
      <c r="AE126" s="80">
        <v>1</v>
      </c>
      <c r="AF126" s="79" t="str">
        <f>REPLACE(INDEX(GroupVertices[Group],MATCH(Edges[[#This Row],[Vertex 1]],GroupVertices[Vertex],0)),1,1,"")</f>
        <v>6</v>
      </c>
      <c r="AG126" s="79" t="str">
        <f>REPLACE(INDEX(GroupVertices[Group],MATCH(Edges[[#This Row],[Vertex 2]],GroupVertices[Vertex],0)),1,1,"")</f>
        <v>6</v>
      </c>
      <c r="AH126" s="34"/>
      <c r="AI126" s="34"/>
      <c r="AJ126" s="34"/>
      <c r="AK126" s="34"/>
      <c r="AL126" s="34"/>
      <c r="AM126" s="34"/>
      <c r="AN126" s="34"/>
      <c r="AO126" s="34"/>
      <c r="AP126" s="34"/>
    </row>
    <row r="127" spans="1:42" ht="15">
      <c r="A127" s="65" t="s">
        <v>511</v>
      </c>
      <c r="B127" s="65" t="s">
        <v>519</v>
      </c>
      <c r="C127" s="66" t="s">
        <v>1853</v>
      </c>
      <c r="D127" s="67">
        <v>2</v>
      </c>
      <c r="E127" s="68"/>
      <c r="F127" s="69">
        <v>32</v>
      </c>
      <c r="G127" s="66"/>
      <c r="H127" s="70"/>
      <c r="I127" s="71"/>
      <c r="J127" s="71"/>
      <c r="K127" s="34" t="s">
        <v>66</v>
      </c>
      <c r="L127" s="78">
        <v>127</v>
      </c>
      <c r="M127" s="78"/>
      <c r="N127" s="73"/>
      <c r="O127" s="80" t="s">
        <v>211</v>
      </c>
      <c r="P127" s="80" t="s">
        <v>212</v>
      </c>
      <c r="Q127" s="80" t="s">
        <v>735</v>
      </c>
      <c r="R127" s="80" t="s">
        <v>511</v>
      </c>
      <c r="S127" s="80" t="s">
        <v>973</v>
      </c>
      <c r="T127" s="82" t="str">
        <f>HYPERLINK("http://www.youtube.com/channel/UCJ7UhloHSA4wAqPzyi6TOkw")</f>
        <v>http://www.youtube.com/channel/UCJ7UhloHSA4wAqPzyi6TOkw</v>
      </c>
      <c r="U127" s="80" t="s">
        <v>1116</v>
      </c>
      <c r="V127" s="80" t="s">
        <v>1204</v>
      </c>
      <c r="W127" s="82" t="str">
        <f>HYPERLINK("https://www.youtube.com/watch?v=zXJphXou0TE")</f>
        <v>https://www.youtube.com/watch?v=zXJphXou0TE</v>
      </c>
      <c r="X127" s="80" t="s">
        <v>213</v>
      </c>
      <c r="Y127" s="80">
        <v>0</v>
      </c>
      <c r="Z127" s="84">
        <v>44000.72928240741</v>
      </c>
      <c r="AA127" s="84">
        <v>44000.72928240741</v>
      </c>
      <c r="AB127" s="80"/>
      <c r="AC127" s="80"/>
      <c r="AD127" s="80"/>
      <c r="AE127" s="80">
        <v>1</v>
      </c>
      <c r="AF127" s="79" t="str">
        <f>REPLACE(INDEX(GroupVertices[Group],MATCH(Edges[[#This Row],[Vertex 1]],GroupVertices[Vertex],0)),1,1,"")</f>
        <v>6</v>
      </c>
      <c r="AG127" s="79" t="str">
        <f>REPLACE(INDEX(GroupVertices[Group],MATCH(Edges[[#This Row],[Vertex 2]],GroupVertices[Vertex],0)),1,1,"")</f>
        <v>6</v>
      </c>
      <c r="AH127" s="34"/>
      <c r="AI127" s="34"/>
      <c r="AJ127" s="34"/>
      <c r="AK127" s="34"/>
      <c r="AL127" s="34"/>
      <c r="AM127" s="34"/>
      <c r="AN127" s="34"/>
      <c r="AO127" s="34"/>
      <c r="AP127" s="34"/>
    </row>
    <row r="128" spans="1:42" ht="15">
      <c r="A128" s="65" t="s">
        <v>519</v>
      </c>
      <c r="B128" s="65" t="s">
        <v>511</v>
      </c>
      <c r="C128" s="66" t="s">
        <v>1853</v>
      </c>
      <c r="D128" s="67">
        <v>2</v>
      </c>
      <c r="E128" s="68"/>
      <c r="F128" s="69">
        <v>32</v>
      </c>
      <c r="G128" s="66"/>
      <c r="H128" s="70"/>
      <c r="I128" s="71"/>
      <c r="J128" s="71"/>
      <c r="K128" s="34" t="s">
        <v>66</v>
      </c>
      <c r="L128" s="78">
        <v>128</v>
      </c>
      <c r="M128" s="78"/>
      <c r="N128" s="73"/>
      <c r="O128" s="80" t="s">
        <v>210</v>
      </c>
      <c r="P128" s="80" t="s">
        <v>196</v>
      </c>
      <c r="Q128" s="80" t="s">
        <v>736</v>
      </c>
      <c r="R128" s="80" t="s">
        <v>519</v>
      </c>
      <c r="S128" s="80" t="s">
        <v>981</v>
      </c>
      <c r="T128" s="82" t="str">
        <f>HYPERLINK("http://www.youtube.com/channel/UCsuE57N12Jj9RlPZeiTimrQ")</f>
        <v>http://www.youtube.com/channel/UCsuE57N12Jj9RlPZeiTimrQ</v>
      </c>
      <c r="U128" s="80"/>
      <c r="V128" s="80" t="s">
        <v>1204</v>
      </c>
      <c r="W128" s="82" t="str">
        <f>HYPERLINK("https://www.youtube.com/watch?v=zXJphXou0TE")</f>
        <v>https://www.youtube.com/watch?v=zXJphXou0TE</v>
      </c>
      <c r="X128" s="80" t="s">
        <v>213</v>
      </c>
      <c r="Y128" s="80">
        <v>0</v>
      </c>
      <c r="Z128" s="84">
        <v>44000.66873842593</v>
      </c>
      <c r="AA128" s="84">
        <v>44000.66873842593</v>
      </c>
      <c r="AB128" s="80"/>
      <c r="AC128" s="80"/>
      <c r="AD128" s="80"/>
      <c r="AE128" s="80">
        <v>1</v>
      </c>
      <c r="AF128" s="79" t="str">
        <f>REPLACE(INDEX(GroupVertices[Group],MATCH(Edges[[#This Row],[Vertex 1]],GroupVertices[Vertex],0)),1,1,"")</f>
        <v>6</v>
      </c>
      <c r="AG128" s="79" t="str">
        <f>REPLACE(INDEX(GroupVertices[Group],MATCH(Edges[[#This Row],[Vertex 2]],GroupVertices[Vertex],0)),1,1,"")</f>
        <v>6</v>
      </c>
      <c r="AH128" s="34"/>
      <c r="AI128" s="34"/>
      <c r="AJ128" s="34"/>
      <c r="AK128" s="34"/>
      <c r="AL128" s="34"/>
      <c r="AM128" s="34"/>
      <c r="AN128" s="34"/>
      <c r="AO128" s="34"/>
      <c r="AP128" s="34"/>
    </row>
    <row r="129" spans="1:42" ht="15">
      <c r="A129" s="65" t="s">
        <v>520</v>
      </c>
      <c r="B129" s="65" t="s">
        <v>521</v>
      </c>
      <c r="C129" s="66" t="s">
        <v>1853</v>
      </c>
      <c r="D129" s="67">
        <v>2</v>
      </c>
      <c r="E129" s="68"/>
      <c r="F129" s="69">
        <v>32</v>
      </c>
      <c r="G129" s="66"/>
      <c r="H129" s="70"/>
      <c r="I129" s="71"/>
      <c r="J129" s="71"/>
      <c r="K129" s="34" t="s">
        <v>66</v>
      </c>
      <c r="L129" s="78">
        <v>129</v>
      </c>
      <c r="M129" s="78"/>
      <c r="N129" s="73"/>
      <c r="O129" s="80" t="s">
        <v>211</v>
      </c>
      <c r="P129" s="80" t="s">
        <v>212</v>
      </c>
      <c r="Q129" s="80" t="s">
        <v>737</v>
      </c>
      <c r="R129" s="80" t="s">
        <v>520</v>
      </c>
      <c r="S129" s="80" t="s">
        <v>982</v>
      </c>
      <c r="T129" s="82" t="str">
        <f>HYPERLINK("http://www.youtube.com/channel/UCvBYTqRx-n_8KzFO0MJlUVw")</f>
        <v>http://www.youtube.com/channel/UCvBYTqRx-n_8KzFO0MJlUVw</v>
      </c>
      <c r="U129" s="80" t="s">
        <v>1117</v>
      </c>
      <c r="V129" s="80" t="s">
        <v>1205</v>
      </c>
      <c r="W129" s="82" t="str">
        <f>HYPERLINK("https://www.youtube.com/watch?v=NTUfX9HNdK0")</f>
        <v>https://www.youtube.com/watch?v=NTUfX9HNdK0</v>
      </c>
      <c r="X129" s="80" t="s">
        <v>213</v>
      </c>
      <c r="Y129" s="80">
        <v>1</v>
      </c>
      <c r="Z129" s="84">
        <v>44000.28497685185</v>
      </c>
      <c r="AA129" s="84">
        <v>44000.28497685185</v>
      </c>
      <c r="AB129" s="80"/>
      <c r="AC129" s="80"/>
      <c r="AD129" s="80"/>
      <c r="AE129" s="80">
        <v>1</v>
      </c>
      <c r="AF129" s="79" t="str">
        <f>REPLACE(INDEX(GroupVertices[Group],MATCH(Edges[[#This Row],[Vertex 1]],GroupVertices[Vertex],0)),1,1,"")</f>
        <v>10</v>
      </c>
      <c r="AG129" s="79" t="str">
        <f>REPLACE(INDEX(GroupVertices[Group],MATCH(Edges[[#This Row],[Vertex 2]],GroupVertices[Vertex],0)),1,1,"")</f>
        <v>10</v>
      </c>
      <c r="AH129" s="34"/>
      <c r="AI129" s="34"/>
      <c r="AJ129" s="34"/>
      <c r="AK129" s="34"/>
      <c r="AL129" s="34"/>
      <c r="AM129" s="34"/>
      <c r="AN129" s="34"/>
      <c r="AO129" s="34"/>
      <c r="AP129" s="34"/>
    </row>
    <row r="130" spans="1:42" ht="15">
      <c r="A130" s="65" t="s">
        <v>521</v>
      </c>
      <c r="B130" s="65" t="s">
        <v>520</v>
      </c>
      <c r="C130" s="66" t="s">
        <v>1853</v>
      </c>
      <c r="D130" s="67">
        <v>2</v>
      </c>
      <c r="E130" s="68"/>
      <c r="F130" s="69">
        <v>32</v>
      </c>
      <c r="G130" s="66"/>
      <c r="H130" s="70"/>
      <c r="I130" s="71"/>
      <c r="J130" s="71"/>
      <c r="K130" s="34" t="s">
        <v>66</v>
      </c>
      <c r="L130" s="78">
        <v>130</v>
      </c>
      <c r="M130" s="78"/>
      <c r="N130" s="73"/>
      <c r="O130" s="80" t="s">
        <v>210</v>
      </c>
      <c r="P130" s="80" t="s">
        <v>196</v>
      </c>
      <c r="Q130" s="80" t="s">
        <v>738</v>
      </c>
      <c r="R130" s="80" t="s">
        <v>521</v>
      </c>
      <c r="S130" s="80" t="s">
        <v>983</v>
      </c>
      <c r="T130" s="82" t="str">
        <f>HYPERLINK("http://www.youtube.com/channel/UCGOJ1SXRPs15Ou0r-xq090Q")</f>
        <v>http://www.youtube.com/channel/UCGOJ1SXRPs15Ou0r-xq090Q</v>
      </c>
      <c r="U130" s="80"/>
      <c r="V130" s="80" t="s">
        <v>1205</v>
      </c>
      <c r="W130" s="82" t="str">
        <f>HYPERLINK("https://www.youtube.com/watch?v=NTUfX9HNdK0")</f>
        <v>https://www.youtube.com/watch?v=NTUfX9HNdK0</v>
      </c>
      <c r="X130" s="80" t="s">
        <v>213</v>
      </c>
      <c r="Y130" s="80">
        <v>1</v>
      </c>
      <c r="Z130" s="84">
        <v>43999.79576388889</v>
      </c>
      <c r="AA130" s="84">
        <v>43999.79576388889</v>
      </c>
      <c r="AB130" s="80"/>
      <c r="AC130" s="80"/>
      <c r="AD130" s="80"/>
      <c r="AE130" s="80">
        <v>1</v>
      </c>
      <c r="AF130" s="79" t="str">
        <f>REPLACE(INDEX(GroupVertices[Group],MATCH(Edges[[#This Row],[Vertex 1]],GroupVertices[Vertex],0)),1,1,"")</f>
        <v>10</v>
      </c>
      <c r="AG130" s="79" t="str">
        <f>REPLACE(INDEX(GroupVertices[Group],MATCH(Edges[[#This Row],[Vertex 2]],GroupVertices[Vertex],0)),1,1,"")</f>
        <v>10</v>
      </c>
      <c r="AH130" s="34"/>
      <c r="AI130" s="34"/>
      <c r="AJ130" s="34"/>
      <c r="AK130" s="34"/>
      <c r="AL130" s="34"/>
      <c r="AM130" s="34"/>
      <c r="AN130" s="34"/>
      <c r="AO130" s="34"/>
      <c r="AP130" s="34"/>
    </row>
    <row r="131" spans="1:42" ht="15">
      <c r="A131" s="65" t="s">
        <v>520</v>
      </c>
      <c r="B131" s="65" t="s">
        <v>522</v>
      </c>
      <c r="C131" s="66" t="s">
        <v>1853</v>
      </c>
      <c r="D131" s="67">
        <v>2</v>
      </c>
      <c r="E131" s="68"/>
      <c r="F131" s="69">
        <v>32</v>
      </c>
      <c r="G131" s="66"/>
      <c r="H131" s="70"/>
      <c r="I131" s="71"/>
      <c r="J131" s="71"/>
      <c r="K131" s="34" t="s">
        <v>66</v>
      </c>
      <c r="L131" s="78">
        <v>131</v>
      </c>
      <c r="M131" s="78"/>
      <c r="N131" s="73"/>
      <c r="O131" s="80" t="s">
        <v>211</v>
      </c>
      <c r="P131" s="80" t="s">
        <v>212</v>
      </c>
      <c r="Q131" s="80" t="s">
        <v>739</v>
      </c>
      <c r="R131" s="80" t="s">
        <v>520</v>
      </c>
      <c r="S131" s="80" t="s">
        <v>982</v>
      </c>
      <c r="T131" s="82" t="str">
        <f>HYPERLINK("http://www.youtube.com/channel/UCvBYTqRx-n_8KzFO0MJlUVw")</f>
        <v>http://www.youtube.com/channel/UCvBYTqRx-n_8KzFO0MJlUVw</v>
      </c>
      <c r="U131" s="80" t="s">
        <v>1118</v>
      </c>
      <c r="V131" s="80" t="s">
        <v>1205</v>
      </c>
      <c r="W131" s="82" t="str">
        <f>HYPERLINK("https://www.youtube.com/watch?v=NTUfX9HNdK0")</f>
        <v>https://www.youtube.com/watch?v=NTUfX9HNdK0</v>
      </c>
      <c r="X131" s="80" t="s">
        <v>213</v>
      </c>
      <c r="Y131" s="80">
        <v>1</v>
      </c>
      <c r="Z131" s="84">
        <v>44000.284212962964</v>
      </c>
      <c r="AA131" s="84">
        <v>44000.284212962964</v>
      </c>
      <c r="AB131" s="80"/>
      <c r="AC131" s="80"/>
      <c r="AD131" s="80"/>
      <c r="AE131" s="80">
        <v>1</v>
      </c>
      <c r="AF131" s="79" t="str">
        <f>REPLACE(INDEX(GroupVertices[Group],MATCH(Edges[[#This Row],[Vertex 1]],GroupVertices[Vertex],0)),1,1,"")</f>
        <v>10</v>
      </c>
      <c r="AG131" s="79" t="str">
        <f>REPLACE(INDEX(GroupVertices[Group],MATCH(Edges[[#This Row],[Vertex 2]],GroupVertices[Vertex],0)),1,1,"")</f>
        <v>10</v>
      </c>
      <c r="AH131" s="34"/>
      <c r="AI131" s="34"/>
      <c r="AJ131" s="34"/>
      <c r="AK131" s="34"/>
      <c r="AL131" s="34"/>
      <c r="AM131" s="34"/>
      <c r="AN131" s="34"/>
      <c r="AO131" s="34"/>
      <c r="AP131" s="34"/>
    </row>
    <row r="132" spans="1:42" ht="15">
      <c r="A132" s="65" t="s">
        <v>522</v>
      </c>
      <c r="B132" s="65" t="s">
        <v>520</v>
      </c>
      <c r="C132" s="66" t="s">
        <v>1853</v>
      </c>
      <c r="D132" s="67">
        <v>2</v>
      </c>
      <c r="E132" s="68"/>
      <c r="F132" s="69">
        <v>32</v>
      </c>
      <c r="G132" s="66"/>
      <c r="H132" s="70"/>
      <c r="I132" s="71"/>
      <c r="J132" s="71"/>
      <c r="K132" s="34" t="s">
        <v>66</v>
      </c>
      <c r="L132" s="78">
        <v>132</v>
      </c>
      <c r="M132" s="78"/>
      <c r="N132" s="73"/>
      <c r="O132" s="80" t="s">
        <v>210</v>
      </c>
      <c r="P132" s="80" t="s">
        <v>196</v>
      </c>
      <c r="Q132" s="80" t="s">
        <v>740</v>
      </c>
      <c r="R132" s="80" t="s">
        <v>522</v>
      </c>
      <c r="S132" s="80" t="s">
        <v>984</v>
      </c>
      <c r="T132" s="82" t="str">
        <f>HYPERLINK("http://www.youtube.com/channel/UCLDJUM2GR2JWkszd0bBwPjg")</f>
        <v>http://www.youtube.com/channel/UCLDJUM2GR2JWkszd0bBwPjg</v>
      </c>
      <c r="U132" s="80"/>
      <c r="V132" s="80" t="s">
        <v>1205</v>
      </c>
      <c r="W132" s="82" t="str">
        <f>HYPERLINK("https://www.youtube.com/watch?v=NTUfX9HNdK0")</f>
        <v>https://www.youtube.com/watch?v=NTUfX9HNdK0</v>
      </c>
      <c r="X132" s="80" t="s">
        <v>213</v>
      </c>
      <c r="Y132" s="80">
        <v>1</v>
      </c>
      <c r="Z132" s="84">
        <v>43999.91722222222</v>
      </c>
      <c r="AA132" s="84">
        <v>43999.91722222222</v>
      </c>
      <c r="AB132" s="80"/>
      <c r="AC132" s="80"/>
      <c r="AD132" s="80"/>
      <c r="AE132" s="80">
        <v>1</v>
      </c>
      <c r="AF132" s="79" t="str">
        <f>REPLACE(INDEX(GroupVertices[Group],MATCH(Edges[[#This Row],[Vertex 1]],GroupVertices[Vertex],0)),1,1,"")</f>
        <v>10</v>
      </c>
      <c r="AG132" s="79" t="str">
        <f>REPLACE(INDEX(GroupVertices[Group],MATCH(Edges[[#This Row],[Vertex 2]],GroupVertices[Vertex],0)),1,1,"")</f>
        <v>10</v>
      </c>
      <c r="AH132" s="34"/>
      <c r="AI132" s="34"/>
      <c r="AJ132" s="34"/>
      <c r="AK132" s="34"/>
      <c r="AL132" s="34"/>
      <c r="AM132" s="34"/>
      <c r="AN132" s="34"/>
      <c r="AO132" s="34"/>
      <c r="AP132" s="34"/>
    </row>
    <row r="133" spans="1:42" ht="15">
      <c r="A133" s="65" t="s">
        <v>520</v>
      </c>
      <c r="B133" s="65" t="s">
        <v>523</v>
      </c>
      <c r="C133" s="66" t="s">
        <v>1833</v>
      </c>
      <c r="D133" s="67">
        <v>2</v>
      </c>
      <c r="E133" s="68"/>
      <c r="F133" s="69">
        <v>32</v>
      </c>
      <c r="G133" s="66"/>
      <c r="H133" s="70"/>
      <c r="I133" s="71"/>
      <c r="J133" s="71"/>
      <c r="K133" s="34" t="s">
        <v>66</v>
      </c>
      <c r="L133" s="78">
        <v>133</v>
      </c>
      <c r="M133" s="78"/>
      <c r="N133" s="73"/>
      <c r="O133" s="80" t="s">
        <v>211</v>
      </c>
      <c r="P133" s="80" t="s">
        <v>212</v>
      </c>
      <c r="Q133" s="80" t="s">
        <v>741</v>
      </c>
      <c r="R133" s="80" t="s">
        <v>520</v>
      </c>
      <c r="S133" s="80" t="s">
        <v>982</v>
      </c>
      <c r="T133" s="82" t="str">
        <f>HYPERLINK("http://www.youtube.com/channel/UCvBYTqRx-n_8KzFO0MJlUVw")</f>
        <v>http://www.youtube.com/channel/UCvBYTqRx-n_8KzFO0MJlUVw</v>
      </c>
      <c r="U133" s="80" t="s">
        <v>1119</v>
      </c>
      <c r="V133" s="80" t="s">
        <v>1205</v>
      </c>
      <c r="W133" s="82" t="str">
        <f>HYPERLINK("https://www.youtube.com/watch?v=NTUfX9HNdK0")</f>
        <v>https://www.youtube.com/watch?v=NTUfX9HNdK0</v>
      </c>
      <c r="X133" s="80" t="s">
        <v>213</v>
      </c>
      <c r="Y133" s="80">
        <v>0</v>
      </c>
      <c r="Z133" s="84">
        <v>44000.733402777776</v>
      </c>
      <c r="AA133" s="84">
        <v>44000.733402777776</v>
      </c>
      <c r="AB133" s="80"/>
      <c r="AC133" s="80"/>
      <c r="AD133" s="80"/>
      <c r="AE133" s="80">
        <v>3</v>
      </c>
      <c r="AF133" s="79" t="str">
        <f>REPLACE(INDEX(GroupVertices[Group],MATCH(Edges[[#This Row],[Vertex 1]],GroupVertices[Vertex],0)),1,1,"")</f>
        <v>10</v>
      </c>
      <c r="AG133" s="79" t="str">
        <f>REPLACE(INDEX(GroupVertices[Group],MATCH(Edges[[#This Row],[Vertex 2]],GroupVertices[Vertex],0)),1,1,"")</f>
        <v>10</v>
      </c>
      <c r="AH133" s="34"/>
      <c r="AI133" s="34"/>
      <c r="AJ133" s="34"/>
      <c r="AK133" s="34"/>
      <c r="AL133" s="34"/>
      <c r="AM133" s="34"/>
      <c r="AN133" s="34"/>
      <c r="AO133" s="34"/>
      <c r="AP133" s="34"/>
    </row>
    <row r="134" spans="1:42" ht="15">
      <c r="A134" s="65" t="s">
        <v>523</v>
      </c>
      <c r="B134" s="65" t="s">
        <v>523</v>
      </c>
      <c r="C134" s="66" t="s">
        <v>1853</v>
      </c>
      <c r="D134" s="67">
        <v>2</v>
      </c>
      <c r="E134" s="68"/>
      <c r="F134" s="69">
        <v>32</v>
      </c>
      <c r="G134" s="66"/>
      <c r="H134" s="70"/>
      <c r="I134" s="71"/>
      <c r="J134" s="71"/>
      <c r="K134" s="34" t="s">
        <v>65</v>
      </c>
      <c r="L134" s="78">
        <v>134</v>
      </c>
      <c r="M134" s="78"/>
      <c r="N134" s="73"/>
      <c r="O134" s="80" t="s">
        <v>211</v>
      </c>
      <c r="P134" s="80" t="s">
        <v>212</v>
      </c>
      <c r="Q134" s="80" t="s">
        <v>742</v>
      </c>
      <c r="R134" s="80" t="s">
        <v>523</v>
      </c>
      <c r="S134" s="80" t="s">
        <v>985</v>
      </c>
      <c r="T134" s="82" t="str">
        <f>HYPERLINK("http://www.youtube.com/channel/UCScJvW7xrPOLjE3rfXLrmuQ")</f>
        <v>http://www.youtube.com/channel/UCScJvW7xrPOLjE3rfXLrmuQ</v>
      </c>
      <c r="U134" s="80" t="s">
        <v>1119</v>
      </c>
      <c r="V134" s="80" t="s">
        <v>1205</v>
      </c>
      <c r="W134" s="82" t="str">
        <f>HYPERLINK("https://www.youtube.com/watch?v=NTUfX9HNdK0")</f>
        <v>https://www.youtube.com/watch?v=NTUfX9HNdK0</v>
      </c>
      <c r="X134" s="80" t="s">
        <v>213</v>
      </c>
      <c r="Y134" s="80">
        <v>0</v>
      </c>
      <c r="Z134" s="84">
        <v>44000.74435185185</v>
      </c>
      <c r="AA134" s="84">
        <v>44000.74435185185</v>
      </c>
      <c r="AB134" s="80"/>
      <c r="AC134" s="80"/>
      <c r="AD134" s="80"/>
      <c r="AE134" s="80">
        <v>1</v>
      </c>
      <c r="AF134" s="79" t="str">
        <f>REPLACE(INDEX(GroupVertices[Group],MATCH(Edges[[#This Row],[Vertex 1]],GroupVertices[Vertex],0)),1,1,"")</f>
        <v>10</v>
      </c>
      <c r="AG134" s="79" t="str">
        <f>REPLACE(INDEX(GroupVertices[Group],MATCH(Edges[[#This Row],[Vertex 2]],GroupVertices[Vertex],0)),1,1,"")</f>
        <v>10</v>
      </c>
      <c r="AH134" s="34"/>
      <c r="AI134" s="34"/>
      <c r="AJ134" s="34"/>
      <c r="AK134" s="34"/>
      <c r="AL134" s="34"/>
      <c r="AM134" s="34"/>
      <c r="AN134" s="34"/>
      <c r="AO134" s="34"/>
      <c r="AP134" s="34"/>
    </row>
    <row r="135" spans="1:42" ht="15">
      <c r="A135" s="65" t="s">
        <v>523</v>
      </c>
      <c r="B135" s="65" t="s">
        <v>520</v>
      </c>
      <c r="C135" s="66" t="s">
        <v>1833</v>
      </c>
      <c r="D135" s="67">
        <v>2</v>
      </c>
      <c r="E135" s="68"/>
      <c r="F135" s="69">
        <v>32</v>
      </c>
      <c r="G135" s="66"/>
      <c r="H135" s="70"/>
      <c r="I135" s="71"/>
      <c r="J135" s="71"/>
      <c r="K135" s="34" t="s">
        <v>66</v>
      </c>
      <c r="L135" s="78">
        <v>135</v>
      </c>
      <c r="M135" s="78"/>
      <c r="N135" s="73"/>
      <c r="O135" s="80" t="s">
        <v>210</v>
      </c>
      <c r="P135" s="80" t="s">
        <v>196</v>
      </c>
      <c r="Q135" s="80" t="s">
        <v>743</v>
      </c>
      <c r="R135" s="80" t="s">
        <v>523</v>
      </c>
      <c r="S135" s="80" t="s">
        <v>985</v>
      </c>
      <c r="T135" s="82" t="str">
        <f>HYPERLINK("http://www.youtube.com/channel/UCScJvW7xrPOLjE3rfXLrmuQ")</f>
        <v>http://www.youtube.com/channel/UCScJvW7xrPOLjE3rfXLrmuQ</v>
      </c>
      <c r="U135" s="80"/>
      <c r="V135" s="80" t="s">
        <v>1205</v>
      </c>
      <c r="W135" s="82" t="str">
        <f>HYPERLINK("https://www.youtube.com/watch?v=NTUfX9HNdK0")</f>
        <v>https://www.youtube.com/watch?v=NTUfX9HNdK0</v>
      </c>
      <c r="X135" s="80" t="s">
        <v>213</v>
      </c>
      <c r="Y135" s="80">
        <v>1</v>
      </c>
      <c r="Z135" s="84">
        <v>44000.42851851852</v>
      </c>
      <c r="AA135" s="84">
        <v>44000.42851851852</v>
      </c>
      <c r="AB135" s="80"/>
      <c r="AC135" s="80"/>
      <c r="AD135" s="80"/>
      <c r="AE135" s="80">
        <v>3</v>
      </c>
      <c r="AF135" s="79" t="str">
        <f>REPLACE(INDEX(GroupVertices[Group],MATCH(Edges[[#This Row],[Vertex 1]],GroupVertices[Vertex],0)),1,1,"")</f>
        <v>10</v>
      </c>
      <c r="AG135" s="79" t="str">
        <f>REPLACE(INDEX(GroupVertices[Group],MATCH(Edges[[#This Row],[Vertex 2]],GroupVertices[Vertex],0)),1,1,"")</f>
        <v>10</v>
      </c>
      <c r="AH135" s="34"/>
      <c r="AI135" s="34"/>
      <c r="AJ135" s="34"/>
      <c r="AK135" s="34"/>
      <c r="AL135" s="34"/>
      <c r="AM135" s="34"/>
      <c r="AN135" s="34"/>
      <c r="AO135" s="34"/>
      <c r="AP135" s="34"/>
    </row>
    <row r="136" spans="1:42" ht="15">
      <c r="A136" s="65" t="s">
        <v>520</v>
      </c>
      <c r="B136" s="65" t="s">
        <v>523</v>
      </c>
      <c r="C136" s="66" t="s">
        <v>1833</v>
      </c>
      <c r="D136" s="67">
        <v>2</v>
      </c>
      <c r="E136" s="68"/>
      <c r="F136" s="69">
        <v>32</v>
      </c>
      <c r="G136" s="66"/>
      <c r="H136" s="70"/>
      <c r="I136" s="71"/>
      <c r="J136" s="71"/>
      <c r="K136" s="34" t="s">
        <v>66</v>
      </c>
      <c r="L136" s="78">
        <v>136</v>
      </c>
      <c r="M136" s="78"/>
      <c r="N136" s="73"/>
      <c r="O136" s="80" t="s">
        <v>211</v>
      </c>
      <c r="P136" s="80" t="s">
        <v>212</v>
      </c>
      <c r="Q136" s="80" t="s">
        <v>744</v>
      </c>
      <c r="R136" s="80" t="s">
        <v>520</v>
      </c>
      <c r="S136" s="80" t="s">
        <v>982</v>
      </c>
      <c r="T136" s="82" t="str">
        <f>HYPERLINK("http://www.youtube.com/channel/UCvBYTqRx-n_8KzFO0MJlUVw")</f>
        <v>http://www.youtube.com/channel/UCvBYTqRx-n_8KzFO0MJlUVw</v>
      </c>
      <c r="U136" s="80" t="s">
        <v>1120</v>
      </c>
      <c r="V136" s="80" t="s">
        <v>1205</v>
      </c>
      <c r="W136" s="82" t="str">
        <f>HYPERLINK("https://www.youtube.com/watch?v=NTUfX9HNdK0")</f>
        <v>https://www.youtube.com/watch?v=NTUfX9HNdK0</v>
      </c>
      <c r="X136" s="80" t="s">
        <v>213</v>
      </c>
      <c r="Y136" s="80">
        <v>0</v>
      </c>
      <c r="Z136" s="84">
        <v>44000.731944444444</v>
      </c>
      <c r="AA136" s="84">
        <v>44000.731944444444</v>
      </c>
      <c r="AB136" s="80"/>
      <c r="AC136" s="80"/>
      <c r="AD136" s="80"/>
      <c r="AE136" s="80">
        <v>3</v>
      </c>
      <c r="AF136" s="79" t="str">
        <f>REPLACE(INDEX(GroupVertices[Group],MATCH(Edges[[#This Row],[Vertex 1]],GroupVertices[Vertex],0)),1,1,"")</f>
        <v>10</v>
      </c>
      <c r="AG136" s="79" t="str">
        <f>REPLACE(INDEX(GroupVertices[Group],MATCH(Edges[[#This Row],[Vertex 2]],GroupVertices[Vertex],0)),1,1,"")</f>
        <v>10</v>
      </c>
      <c r="AH136" s="34"/>
      <c r="AI136" s="34"/>
      <c r="AJ136" s="34"/>
      <c r="AK136" s="34"/>
      <c r="AL136" s="34"/>
      <c r="AM136" s="34"/>
      <c r="AN136" s="34"/>
      <c r="AO136" s="34"/>
      <c r="AP136" s="34"/>
    </row>
    <row r="137" spans="1:42" ht="15">
      <c r="A137" s="65" t="s">
        <v>523</v>
      </c>
      <c r="B137" s="65" t="s">
        <v>520</v>
      </c>
      <c r="C137" s="66" t="s">
        <v>1833</v>
      </c>
      <c r="D137" s="67">
        <v>2</v>
      </c>
      <c r="E137" s="68"/>
      <c r="F137" s="69">
        <v>32</v>
      </c>
      <c r="G137" s="66"/>
      <c r="H137" s="70"/>
      <c r="I137" s="71"/>
      <c r="J137" s="71"/>
      <c r="K137" s="34" t="s">
        <v>66</v>
      </c>
      <c r="L137" s="78">
        <v>137</v>
      </c>
      <c r="M137" s="78"/>
      <c r="N137" s="73"/>
      <c r="O137" s="80" t="s">
        <v>210</v>
      </c>
      <c r="P137" s="80" t="s">
        <v>196</v>
      </c>
      <c r="Q137" s="80" t="s">
        <v>745</v>
      </c>
      <c r="R137" s="80" t="s">
        <v>523</v>
      </c>
      <c r="S137" s="80" t="s">
        <v>985</v>
      </c>
      <c r="T137" s="82" t="str">
        <f>HYPERLINK("http://www.youtube.com/channel/UCScJvW7xrPOLjE3rfXLrmuQ")</f>
        <v>http://www.youtube.com/channel/UCScJvW7xrPOLjE3rfXLrmuQ</v>
      </c>
      <c r="U137" s="80"/>
      <c r="V137" s="80" t="s">
        <v>1205</v>
      </c>
      <c r="W137" s="82" t="str">
        <f>HYPERLINK("https://www.youtube.com/watch?v=NTUfX9HNdK0")</f>
        <v>https://www.youtube.com/watch?v=NTUfX9HNdK0</v>
      </c>
      <c r="X137" s="80" t="s">
        <v>213</v>
      </c>
      <c r="Y137" s="80">
        <v>0</v>
      </c>
      <c r="Z137" s="84">
        <v>44000.431666666664</v>
      </c>
      <c r="AA137" s="84">
        <v>44000.431666666664</v>
      </c>
      <c r="AB137" s="80"/>
      <c r="AC137" s="80"/>
      <c r="AD137" s="80"/>
      <c r="AE137" s="80">
        <v>3</v>
      </c>
      <c r="AF137" s="79" t="str">
        <f>REPLACE(INDEX(GroupVertices[Group],MATCH(Edges[[#This Row],[Vertex 1]],GroupVertices[Vertex],0)),1,1,"")</f>
        <v>10</v>
      </c>
      <c r="AG137" s="79" t="str">
        <f>REPLACE(INDEX(GroupVertices[Group],MATCH(Edges[[#This Row],[Vertex 2]],GroupVertices[Vertex],0)),1,1,"")</f>
        <v>10</v>
      </c>
      <c r="AH137" s="34"/>
      <c r="AI137" s="34"/>
      <c r="AJ137" s="34"/>
      <c r="AK137" s="34"/>
      <c r="AL137" s="34"/>
      <c r="AM137" s="34"/>
      <c r="AN137" s="34"/>
      <c r="AO137" s="34"/>
      <c r="AP137" s="34"/>
    </row>
    <row r="138" spans="1:42" ht="15">
      <c r="A138" s="65" t="s">
        <v>520</v>
      </c>
      <c r="B138" s="65" t="s">
        <v>523</v>
      </c>
      <c r="C138" s="66" t="s">
        <v>1833</v>
      </c>
      <c r="D138" s="67">
        <v>2</v>
      </c>
      <c r="E138" s="68"/>
      <c r="F138" s="69">
        <v>32</v>
      </c>
      <c r="G138" s="66"/>
      <c r="H138" s="70"/>
      <c r="I138" s="71"/>
      <c r="J138" s="71"/>
      <c r="K138" s="34" t="s">
        <v>66</v>
      </c>
      <c r="L138" s="78">
        <v>138</v>
      </c>
      <c r="M138" s="78"/>
      <c r="N138" s="73"/>
      <c r="O138" s="80" t="s">
        <v>211</v>
      </c>
      <c r="P138" s="80" t="s">
        <v>212</v>
      </c>
      <c r="Q138" s="80" t="s">
        <v>746</v>
      </c>
      <c r="R138" s="80" t="s">
        <v>520</v>
      </c>
      <c r="S138" s="80" t="s">
        <v>982</v>
      </c>
      <c r="T138" s="82" t="str">
        <f>HYPERLINK("http://www.youtube.com/channel/UCvBYTqRx-n_8KzFO0MJlUVw")</f>
        <v>http://www.youtube.com/channel/UCvBYTqRx-n_8KzFO0MJlUVw</v>
      </c>
      <c r="U138" s="80" t="s">
        <v>1121</v>
      </c>
      <c r="V138" s="80" t="s">
        <v>1205</v>
      </c>
      <c r="W138" s="82" t="str">
        <f>HYPERLINK("https://www.youtube.com/watch?v=NTUfX9HNdK0")</f>
        <v>https://www.youtube.com/watch?v=NTUfX9HNdK0</v>
      </c>
      <c r="X138" s="80" t="s">
        <v>213</v>
      </c>
      <c r="Y138" s="80">
        <v>1</v>
      </c>
      <c r="Z138" s="84">
        <v>44000.73153935185</v>
      </c>
      <c r="AA138" s="84">
        <v>44000.73153935185</v>
      </c>
      <c r="AB138" s="80"/>
      <c r="AC138" s="80"/>
      <c r="AD138" s="80"/>
      <c r="AE138" s="80">
        <v>3</v>
      </c>
      <c r="AF138" s="79" t="str">
        <f>REPLACE(INDEX(GroupVertices[Group],MATCH(Edges[[#This Row],[Vertex 1]],GroupVertices[Vertex],0)),1,1,"")</f>
        <v>10</v>
      </c>
      <c r="AG138" s="79" t="str">
        <f>REPLACE(INDEX(GroupVertices[Group],MATCH(Edges[[#This Row],[Vertex 2]],GroupVertices[Vertex],0)),1,1,"")</f>
        <v>10</v>
      </c>
      <c r="AH138" s="34"/>
      <c r="AI138" s="34"/>
      <c r="AJ138" s="34"/>
      <c r="AK138" s="34"/>
      <c r="AL138" s="34"/>
      <c r="AM138" s="34"/>
      <c r="AN138" s="34"/>
      <c r="AO138" s="34"/>
      <c r="AP138" s="34"/>
    </row>
    <row r="139" spans="1:42" ht="15">
      <c r="A139" s="65" t="s">
        <v>523</v>
      </c>
      <c r="B139" s="65" t="s">
        <v>520</v>
      </c>
      <c r="C139" s="66" t="s">
        <v>1833</v>
      </c>
      <c r="D139" s="67">
        <v>2</v>
      </c>
      <c r="E139" s="68"/>
      <c r="F139" s="69">
        <v>32</v>
      </c>
      <c r="G139" s="66"/>
      <c r="H139" s="70"/>
      <c r="I139" s="71"/>
      <c r="J139" s="71"/>
      <c r="K139" s="34" t="s">
        <v>66</v>
      </c>
      <c r="L139" s="78">
        <v>139</v>
      </c>
      <c r="M139" s="78"/>
      <c r="N139" s="73"/>
      <c r="O139" s="80" t="s">
        <v>210</v>
      </c>
      <c r="P139" s="80" t="s">
        <v>196</v>
      </c>
      <c r="Q139" s="80" t="s">
        <v>747</v>
      </c>
      <c r="R139" s="80" t="s">
        <v>523</v>
      </c>
      <c r="S139" s="80" t="s">
        <v>985</v>
      </c>
      <c r="T139" s="82" t="str">
        <f>HYPERLINK("http://www.youtube.com/channel/UCScJvW7xrPOLjE3rfXLrmuQ")</f>
        <v>http://www.youtube.com/channel/UCScJvW7xrPOLjE3rfXLrmuQ</v>
      </c>
      <c r="U139" s="80"/>
      <c r="V139" s="80" t="s">
        <v>1205</v>
      </c>
      <c r="W139" s="82" t="str">
        <f>HYPERLINK("https://www.youtube.com/watch?v=NTUfX9HNdK0")</f>
        <v>https://www.youtube.com/watch?v=NTUfX9HNdK0</v>
      </c>
      <c r="X139" s="80" t="s">
        <v>213</v>
      </c>
      <c r="Y139" s="80">
        <v>0</v>
      </c>
      <c r="Z139" s="84">
        <v>44000.44274305556</v>
      </c>
      <c r="AA139" s="84">
        <v>44000.44274305556</v>
      </c>
      <c r="AB139" s="80"/>
      <c r="AC139" s="80"/>
      <c r="AD139" s="80"/>
      <c r="AE139" s="80">
        <v>3</v>
      </c>
      <c r="AF139" s="79" t="str">
        <f>REPLACE(INDEX(GroupVertices[Group],MATCH(Edges[[#This Row],[Vertex 1]],GroupVertices[Vertex],0)),1,1,"")</f>
        <v>10</v>
      </c>
      <c r="AG139" s="79" t="str">
        <f>REPLACE(INDEX(GroupVertices[Group],MATCH(Edges[[#This Row],[Vertex 2]],GroupVertices[Vertex],0)),1,1,"")</f>
        <v>10</v>
      </c>
      <c r="AH139" s="34"/>
      <c r="AI139" s="34"/>
      <c r="AJ139" s="34"/>
      <c r="AK139" s="34"/>
      <c r="AL139" s="34"/>
      <c r="AM139" s="34"/>
      <c r="AN139" s="34"/>
      <c r="AO139" s="34"/>
      <c r="AP139" s="34"/>
    </row>
    <row r="140" spans="1:42" ht="15">
      <c r="A140" s="65" t="s">
        <v>520</v>
      </c>
      <c r="B140" s="65" t="s">
        <v>524</v>
      </c>
      <c r="C140" s="66" t="s">
        <v>1853</v>
      </c>
      <c r="D140" s="67">
        <v>2</v>
      </c>
      <c r="E140" s="68"/>
      <c r="F140" s="69">
        <v>32</v>
      </c>
      <c r="G140" s="66"/>
      <c r="H140" s="70"/>
      <c r="I140" s="71"/>
      <c r="J140" s="71"/>
      <c r="K140" s="34" t="s">
        <v>66</v>
      </c>
      <c r="L140" s="78">
        <v>140</v>
      </c>
      <c r="M140" s="78"/>
      <c r="N140" s="73"/>
      <c r="O140" s="80" t="s">
        <v>211</v>
      </c>
      <c r="P140" s="80" t="s">
        <v>212</v>
      </c>
      <c r="Q140" s="80" t="s">
        <v>748</v>
      </c>
      <c r="R140" s="80" t="s">
        <v>520</v>
      </c>
      <c r="S140" s="80" t="s">
        <v>982</v>
      </c>
      <c r="T140" s="82" t="str">
        <f>HYPERLINK("http://www.youtube.com/channel/UCvBYTqRx-n_8KzFO0MJlUVw")</f>
        <v>http://www.youtube.com/channel/UCvBYTqRx-n_8KzFO0MJlUVw</v>
      </c>
      <c r="U140" s="80" t="s">
        <v>1122</v>
      </c>
      <c r="V140" s="80" t="s">
        <v>1205</v>
      </c>
      <c r="W140" s="82" t="str">
        <f>HYPERLINK("https://www.youtube.com/watch?v=NTUfX9HNdK0")</f>
        <v>https://www.youtube.com/watch?v=NTUfX9HNdK0</v>
      </c>
      <c r="X140" s="80" t="s">
        <v>213</v>
      </c>
      <c r="Y140" s="80">
        <v>0</v>
      </c>
      <c r="Z140" s="84">
        <v>44000.78821759259</v>
      </c>
      <c r="AA140" s="84">
        <v>44000.78821759259</v>
      </c>
      <c r="AB140" s="80"/>
      <c r="AC140" s="80"/>
      <c r="AD140" s="80"/>
      <c r="AE140" s="80">
        <v>1</v>
      </c>
      <c r="AF140" s="79" t="str">
        <f>REPLACE(INDEX(GroupVertices[Group],MATCH(Edges[[#This Row],[Vertex 1]],GroupVertices[Vertex],0)),1,1,"")</f>
        <v>10</v>
      </c>
      <c r="AG140" s="79" t="str">
        <f>REPLACE(INDEX(GroupVertices[Group],MATCH(Edges[[#This Row],[Vertex 2]],GroupVertices[Vertex],0)),1,1,"")</f>
        <v>10</v>
      </c>
      <c r="AH140" s="34"/>
      <c r="AI140" s="34"/>
      <c r="AJ140" s="34"/>
      <c r="AK140" s="34"/>
      <c r="AL140" s="34"/>
      <c r="AM140" s="34"/>
      <c r="AN140" s="34"/>
      <c r="AO140" s="34"/>
      <c r="AP140" s="34"/>
    </row>
    <row r="141" spans="1:42" ht="15">
      <c r="A141" s="65" t="s">
        <v>524</v>
      </c>
      <c r="B141" s="65" t="s">
        <v>520</v>
      </c>
      <c r="C141" s="66" t="s">
        <v>1853</v>
      </c>
      <c r="D141" s="67">
        <v>2</v>
      </c>
      <c r="E141" s="68"/>
      <c r="F141" s="69">
        <v>32</v>
      </c>
      <c r="G141" s="66"/>
      <c r="H141" s="70"/>
      <c r="I141" s="71"/>
      <c r="J141" s="71"/>
      <c r="K141" s="34" t="s">
        <v>66</v>
      </c>
      <c r="L141" s="78">
        <v>141</v>
      </c>
      <c r="M141" s="78"/>
      <c r="N141" s="73"/>
      <c r="O141" s="80" t="s">
        <v>210</v>
      </c>
      <c r="P141" s="80" t="s">
        <v>196</v>
      </c>
      <c r="Q141" s="80" t="s">
        <v>739</v>
      </c>
      <c r="R141" s="80" t="s">
        <v>524</v>
      </c>
      <c r="S141" s="80" t="s">
        <v>986</v>
      </c>
      <c r="T141" s="82" t="str">
        <f>HYPERLINK("http://www.youtube.com/channel/UCuDgHPZiYSujLqwF3dz4BNw")</f>
        <v>http://www.youtube.com/channel/UCuDgHPZiYSujLqwF3dz4BNw</v>
      </c>
      <c r="U141" s="80"/>
      <c r="V141" s="80" t="s">
        <v>1205</v>
      </c>
      <c r="W141" s="82" t="str">
        <f>HYPERLINK("https://www.youtube.com/watch?v=NTUfX9HNdK0")</f>
        <v>https://www.youtube.com/watch?v=NTUfX9HNdK0</v>
      </c>
      <c r="X141" s="80" t="s">
        <v>213</v>
      </c>
      <c r="Y141" s="80">
        <v>1</v>
      </c>
      <c r="Z141" s="84">
        <v>44000.753912037035</v>
      </c>
      <c r="AA141" s="84">
        <v>44000.753912037035</v>
      </c>
      <c r="AB141" s="80"/>
      <c r="AC141" s="80"/>
      <c r="AD141" s="80"/>
      <c r="AE141" s="80">
        <v>1</v>
      </c>
      <c r="AF141" s="79" t="str">
        <f>REPLACE(INDEX(GroupVertices[Group],MATCH(Edges[[#This Row],[Vertex 1]],GroupVertices[Vertex],0)),1,1,"")</f>
        <v>10</v>
      </c>
      <c r="AG141" s="79" t="str">
        <f>REPLACE(INDEX(GroupVertices[Group],MATCH(Edges[[#This Row],[Vertex 2]],GroupVertices[Vertex],0)),1,1,"")</f>
        <v>10</v>
      </c>
      <c r="AH141" s="34"/>
      <c r="AI141" s="34"/>
      <c r="AJ141" s="34"/>
      <c r="AK141" s="34"/>
      <c r="AL141" s="34"/>
      <c r="AM141" s="34"/>
      <c r="AN141" s="34"/>
      <c r="AO141" s="34"/>
      <c r="AP141" s="34"/>
    </row>
    <row r="142" spans="1:42" ht="15">
      <c r="A142" s="65" t="s">
        <v>520</v>
      </c>
      <c r="B142" s="65" t="s">
        <v>525</v>
      </c>
      <c r="C142" s="66" t="s">
        <v>1853</v>
      </c>
      <c r="D142" s="67">
        <v>2</v>
      </c>
      <c r="E142" s="68"/>
      <c r="F142" s="69">
        <v>32</v>
      </c>
      <c r="G142" s="66"/>
      <c r="H142" s="70"/>
      <c r="I142" s="71"/>
      <c r="J142" s="71"/>
      <c r="K142" s="34" t="s">
        <v>66</v>
      </c>
      <c r="L142" s="78">
        <v>142</v>
      </c>
      <c r="M142" s="78"/>
      <c r="N142" s="73"/>
      <c r="O142" s="80" t="s">
        <v>211</v>
      </c>
      <c r="P142" s="80" t="s">
        <v>212</v>
      </c>
      <c r="Q142" s="80" t="s">
        <v>749</v>
      </c>
      <c r="R142" s="80" t="s">
        <v>520</v>
      </c>
      <c r="S142" s="80" t="s">
        <v>982</v>
      </c>
      <c r="T142" s="82" t="str">
        <f>HYPERLINK("http://www.youtube.com/channel/UCvBYTqRx-n_8KzFO0MJlUVw")</f>
        <v>http://www.youtube.com/channel/UCvBYTqRx-n_8KzFO0MJlUVw</v>
      </c>
      <c r="U142" s="80" t="s">
        <v>1123</v>
      </c>
      <c r="V142" s="80" t="s">
        <v>1205</v>
      </c>
      <c r="W142" s="82" t="str">
        <f>HYPERLINK("https://www.youtube.com/watch?v=NTUfX9HNdK0")</f>
        <v>https://www.youtube.com/watch?v=NTUfX9HNdK0</v>
      </c>
      <c r="X142" s="80" t="s">
        <v>213</v>
      </c>
      <c r="Y142" s="80">
        <v>0</v>
      </c>
      <c r="Z142" s="84">
        <v>44000.28450231482</v>
      </c>
      <c r="AA142" s="84">
        <v>44000.28450231482</v>
      </c>
      <c r="AB142" s="80"/>
      <c r="AC142" s="80"/>
      <c r="AD142" s="80"/>
      <c r="AE142" s="80">
        <v>1</v>
      </c>
      <c r="AF142" s="79" t="str">
        <f>REPLACE(INDEX(GroupVertices[Group],MATCH(Edges[[#This Row],[Vertex 1]],GroupVertices[Vertex],0)),1,1,"")</f>
        <v>10</v>
      </c>
      <c r="AG142" s="79" t="str">
        <f>REPLACE(INDEX(GroupVertices[Group],MATCH(Edges[[#This Row],[Vertex 2]],GroupVertices[Vertex],0)),1,1,"")</f>
        <v>10</v>
      </c>
      <c r="AH142" s="34"/>
      <c r="AI142" s="34"/>
      <c r="AJ142" s="34"/>
      <c r="AK142" s="34"/>
      <c r="AL142" s="34"/>
      <c r="AM142" s="34"/>
      <c r="AN142" s="34"/>
      <c r="AO142" s="34"/>
      <c r="AP142" s="34"/>
    </row>
    <row r="143" spans="1:42" ht="15">
      <c r="A143" s="65" t="s">
        <v>525</v>
      </c>
      <c r="B143" s="65" t="s">
        <v>520</v>
      </c>
      <c r="C143" s="66" t="s">
        <v>1853</v>
      </c>
      <c r="D143" s="67">
        <v>2</v>
      </c>
      <c r="E143" s="68"/>
      <c r="F143" s="69">
        <v>32</v>
      </c>
      <c r="G143" s="66"/>
      <c r="H143" s="70"/>
      <c r="I143" s="71"/>
      <c r="J143" s="71"/>
      <c r="K143" s="34" t="s">
        <v>66</v>
      </c>
      <c r="L143" s="78">
        <v>143</v>
      </c>
      <c r="M143" s="78"/>
      <c r="N143" s="73"/>
      <c r="O143" s="80" t="s">
        <v>210</v>
      </c>
      <c r="P143" s="80" t="s">
        <v>196</v>
      </c>
      <c r="Q143" s="80" t="s">
        <v>750</v>
      </c>
      <c r="R143" s="80" t="s">
        <v>525</v>
      </c>
      <c r="S143" s="80" t="s">
        <v>987</v>
      </c>
      <c r="T143" s="82" t="str">
        <f>HYPERLINK("http://www.youtube.com/channel/UC2v4TcvO4rdDdfqd6rUR5yg")</f>
        <v>http://www.youtube.com/channel/UC2v4TcvO4rdDdfqd6rUR5yg</v>
      </c>
      <c r="U143" s="80"/>
      <c r="V143" s="80" t="s">
        <v>1205</v>
      </c>
      <c r="W143" s="82" t="str">
        <f>HYPERLINK("https://www.youtube.com/watch?v=NTUfX9HNdK0")</f>
        <v>https://www.youtube.com/watch?v=NTUfX9HNdK0</v>
      </c>
      <c r="X143" s="80" t="s">
        <v>213</v>
      </c>
      <c r="Y143" s="80">
        <v>3</v>
      </c>
      <c r="Z143" s="84">
        <v>43999.885671296295</v>
      </c>
      <c r="AA143" s="84">
        <v>43999.885671296295</v>
      </c>
      <c r="AB143" s="80"/>
      <c r="AC143" s="80"/>
      <c r="AD143" s="80"/>
      <c r="AE143" s="80">
        <v>1</v>
      </c>
      <c r="AF143" s="79" t="str">
        <f>REPLACE(INDEX(GroupVertices[Group],MATCH(Edges[[#This Row],[Vertex 1]],GroupVertices[Vertex],0)),1,1,"")</f>
        <v>10</v>
      </c>
      <c r="AG143" s="79" t="str">
        <f>REPLACE(INDEX(GroupVertices[Group],MATCH(Edges[[#This Row],[Vertex 2]],GroupVertices[Vertex],0)),1,1,"")</f>
        <v>10</v>
      </c>
      <c r="AH143" s="34"/>
      <c r="AI143" s="34"/>
      <c r="AJ143" s="34"/>
      <c r="AK143" s="34"/>
      <c r="AL143" s="34"/>
      <c r="AM143" s="34"/>
      <c r="AN143" s="34"/>
      <c r="AO143" s="34"/>
      <c r="AP143" s="34"/>
    </row>
    <row r="144" spans="1:42" ht="15">
      <c r="A144" s="65" t="s">
        <v>526</v>
      </c>
      <c r="B144" s="65" t="s">
        <v>526</v>
      </c>
      <c r="C144" s="66" t="s">
        <v>1853</v>
      </c>
      <c r="D144" s="67">
        <v>2</v>
      </c>
      <c r="E144" s="68"/>
      <c r="F144" s="69">
        <v>32</v>
      </c>
      <c r="G144" s="66"/>
      <c r="H144" s="70"/>
      <c r="I144" s="71"/>
      <c r="J144" s="71"/>
      <c r="K144" s="34" t="s">
        <v>65</v>
      </c>
      <c r="L144" s="78">
        <v>144</v>
      </c>
      <c r="M144" s="78"/>
      <c r="N144" s="73"/>
      <c r="O144" s="80" t="s">
        <v>211</v>
      </c>
      <c r="P144" s="80" t="s">
        <v>212</v>
      </c>
      <c r="Q144" s="80" t="s">
        <v>751</v>
      </c>
      <c r="R144" s="80" t="s">
        <v>526</v>
      </c>
      <c r="S144" s="80" t="s">
        <v>988</v>
      </c>
      <c r="T144" s="82" t="str">
        <f>HYPERLINK("http://www.youtube.com/channel/UChonIc52GnJLRxshFjUxrGA")</f>
        <v>http://www.youtube.com/channel/UChonIc52GnJLRxshFjUxrGA</v>
      </c>
      <c r="U144" s="80" t="s">
        <v>1124</v>
      </c>
      <c r="V144" s="80" t="s">
        <v>1206</v>
      </c>
      <c r="W144" s="82" t="str">
        <f>HYPERLINK("https://www.youtube.com/watch?v=S_uhR0FTxrk")</f>
        <v>https://www.youtube.com/watch?v=S_uhR0FTxrk</v>
      </c>
      <c r="X144" s="80" t="s">
        <v>213</v>
      </c>
      <c r="Y144" s="80">
        <v>1</v>
      </c>
      <c r="Z144" s="84">
        <v>43998.16322916667</v>
      </c>
      <c r="AA144" s="84">
        <v>43998.16322916667</v>
      </c>
      <c r="AB144" s="80" t="s">
        <v>1235</v>
      </c>
      <c r="AC144" s="80" t="s">
        <v>1252</v>
      </c>
      <c r="AD144" s="80"/>
      <c r="AE144" s="80">
        <v>1</v>
      </c>
      <c r="AF144" s="79" t="str">
        <f>REPLACE(INDEX(GroupVertices[Group],MATCH(Edges[[#This Row],[Vertex 1]],GroupVertices[Vertex],0)),1,1,"")</f>
        <v>1</v>
      </c>
      <c r="AG144" s="79" t="str">
        <f>REPLACE(INDEX(GroupVertices[Group],MATCH(Edges[[#This Row],[Vertex 2]],GroupVertices[Vertex],0)),1,1,"")</f>
        <v>1</v>
      </c>
      <c r="AH144" s="34"/>
      <c r="AI144" s="34"/>
      <c r="AJ144" s="34"/>
      <c r="AK144" s="34"/>
      <c r="AL144" s="34"/>
      <c r="AM144" s="34"/>
      <c r="AN144" s="34"/>
      <c r="AO144" s="34"/>
      <c r="AP144" s="34"/>
    </row>
    <row r="145" spans="1:42" ht="15">
      <c r="A145" s="65" t="s">
        <v>526</v>
      </c>
      <c r="B145" s="65" t="s">
        <v>526</v>
      </c>
      <c r="C145" s="66" t="s">
        <v>1853</v>
      </c>
      <c r="D145" s="67">
        <v>2</v>
      </c>
      <c r="E145" s="68"/>
      <c r="F145" s="69">
        <v>32</v>
      </c>
      <c r="G145" s="66"/>
      <c r="H145" s="70"/>
      <c r="I145" s="71"/>
      <c r="J145" s="71"/>
      <c r="K145" s="34" t="s">
        <v>65</v>
      </c>
      <c r="L145" s="78">
        <v>145</v>
      </c>
      <c r="M145" s="78"/>
      <c r="N145" s="73"/>
      <c r="O145" s="80" t="s">
        <v>210</v>
      </c>
      <c r="P145" s="80" t="s">
        <v>196</v>
      </c>
      <c r="Q145" s="80" t="s">
        <v>752</v>
      </c>
      <c r="R145" s="80" t="s">
        <v>526</v>
      </c>
      <c r="S145" s="80" t="s">
        <v>988</v>
      </c>
      <c r="T145" s="82" t="str">
        <f>HYPERLINK("http://www.youtube.com/channel/UChonIc52GnJLRxshFjUxrGA")</f>
        <v>http://www.youtube.com/channel/UChonIc52GnJLRxshFjUxrGA</v>
      </c>
      <c r="U145" s="80"/>
      <c r="V145" s="80" t="s">
        <v>1206</v>
      </c>
      <c r="W145" s="82" t="str">
        <f>HYPERLINK("https://www.youtube.com/watch?v=S_uhR0FTxrk")</f>
        <v>https://www.youtube.com/watch?v=S_uhR0FTxrk</v>
      </c>
      <c r="X145" s="80" t="s">
        <v>213</v>
      </c>
      <c r="Y145" s="80">
        <v>2</v>
      </c>
      <c r="Z145" s="84">
        <v>43998.162824074076</v>
      </c>
      <c r="AA145" s="84">
        <v>43998.16304398148</v>
      </c>
      <c r="AB145" s="80" t="s">
        <v>1236</v>
      </c>
      <c r="AC145" s="80" t="s">
        <v>1253</v>
      </c>
      <c r="AD145" s="80"/>
      <c r="AE145" s="80">
        <v>1</v>
      </c>
      <c r="AF145" s="79" t="str">
        <f>REPLACE(INDEX(GroupVertices[Group],MATCH(Edges[[#This Row],[Vertex 1]],GroupVertices[Vertex],0)),1,1,"")</f>
        <v>1</v>
      </c>
      <c r="AG145" s="79" t="str">
        <f>REPLACE(INDEX(GroupVertices[Group],MATCH(Edges[[#This Row],[Vertex 2]],GroupVertices[Vertex],0)),1,1,"")</f>
        <v>1</v>
      </c>
      <c r="AH145" s="34"/>
      <c r="AI145" s="34"/>
      <c r="AJ145" s="34"/>
      <c r="AK145" s="34"/>
      <c r="AL145" s="34"/>
      <c r="AM145" s="34"/>
      <c r="AN145" s="34"/>
      <c r="AO145" s="34"/>
      <c r="AP145" s="34"/>
    </row>
    <row r="146" spans="1:42" ht="15">
      <c r="A146" s="65" t="s">
        <v>527</v>
      </c>
      <c r="B146" s="65" t="s">
        <v>528</v>
      </c>
      <c r="C146" s="66" t="s">
        <v>1853</v>
      </c>
      <c r="D146" s="67">
        <v>2</v>
      </c>
      <c r="E146" s="68"/>
      <c r="F146" s="69">
        <v>32</v>
      </c>
      <c r="G146" s="66"/>
      <c r="H146" s="70"/>
      <c r="I146" s="71"/>
      <c r="J146" s="71"/>
      <c r="K146" s="34" t="s">
        <v>66</v>
      </c>
      <c r="L146" s="78">
        <v>146</v>
      </c>
      <c r="M146" s="78"/>
      <c r="N146" s="73"/>
      <c r="O146" s="80" t="s">
        <v>211</v>
      </c>
      <c r="P146" s="80" t="s">
        <v>212</v>
      </c>
      <c r="Q146" s="80" t="s">
        <v>753</v>
      </c>
      <c r="R146" s="80" t="s">
        <v>527</v>
      </c>
      <c r="S146" s="80" t="s">
        <v>989</v>
      </c>
      <c r="T146" s="82" t="str">
        <f>HYPERLINK("http://www.youtube.com/channel/UCRQz5Rc4o6-DpSVjGBHSOcA")</f>
        <v>http://www.youtube.com/channel/UCRQz5Rc4o6-DpSVjGBHSOcA</v>
      </c>
      <c r="U146" s="80" t="s">
        <v>1125</v>
      </c>
      <c r="V146" s="80" t="s">
        <v>1207</v>
      </c>
      <c r="W146" s="82" t="str">
        <f>HYPERLINK("https://www.youtube.com/watch?v=ve2WnwKH8qQ")</f>
        <v>https://www.youtube.com/watch?v=ve2WnwKH8qQ</v>
      </c>
      <c r="X146" s="80" t="s">
        <v>213</v>
      </c>
      <c r="Y146" s="80">
        <v>0</v>
      </c>
      <c r="Z146" s="84">
        <v>44000.01950231481</v>
      </c>
      <c r="AA146" s="84">
        <v>44000.01950231481</v>
      </c>
      <c r="AB146" s="80"/>
      <c r="AC146" s="80"/>
      <c r="AD146" s="80"/>
      <c r="AE146" s="80">
        <v>1</v>
      </c>
      <c r="AF146" s="79" t="str">
        <f>REPLACE(INDEX(GroupVertices[Group],MATCH(Edges[[#This Row],[Vertex 1]],GroupVertices[Vertex],0)),1,1,"")</f>
        <v>21</v>
      </c>
      <c r="AG146" s="79" t="str">
        <f>REPLACE(INDEX(GroupVertices[Group],MATCH(Edges[[#This Row],[Vertex 2]],GroupVertices[Vertex],0)),1,1,"")</f>
        <v>21</v>
      </c>
      <c r="AH146" s="34"/>
      <c r="AI146" s="34"/>
      <c r="AJ146" s="34"/>
      <c r="AK146" s="34"/>
      <c r="AL146" s="34"/>
      <c r="AM146" s="34"/>
      <c r="AN146" s="34"/>
      <c r="AO146" s="34"/>
      <c r="AP146" s="34"/>
    </row>
    <row r="147" spans="1:42" ht="15">
      <c r="A147" s="65" t="s">
        <v>528</v>
      </c>
      <c r="B147" s="65" t="s">
        <v>527</v>
      </c>
      <c r="C147" s="66" t="s">
        <v>1853</v>
      </c>
      <c r="D147" s="67">
        <v>2</v>
      </c>
      <c r="E147" s="68"/>
      <c r="F147" s="69">
        <v>32</v>
      </c>
      <c r="G147" s="66"/>
      <c r="H147" s="70"/>
      <c r="I147" s="71"/>
      <c r="J147" s="71"/>
      <c r="K147" s="34" t="s">
        <v>66</v>
      </c>
      <c r="L147" s="78">
        <v>147</v>
      </c>
      <c r="M147" s="78"/>
      <c r="N147" s="73"/>
      <c r="O147" s="80" t="s">
        <v>210</v>
      </c>
      <c r="P147" s="80" t="s">
        <v>196</v>
      </c>
      <c r="Q147" s="80" t="s">
        <v>754</v>
      </c>
      <c r="R147" s="80" t="s">
        <v>528</v>
      </c>
      <c r="S147" s="80" t="s">
        <v>990</v>
      </c>
      <c r="T147" s="82" t="str">
        <f>HYPERLINK("http://www.youtube.com/channel/UC9P2p-pAeQftnsYjscZeLVQ")</f>
        <v>http://www.youtube.com/channel/UC9P2p-pAeQftnsYjscZeLVQ</v>
      </c>
      <c r="U147" s="80"/>
      <c r="V147" s="80" t="s">
        <v>1207</v>
      </c>
      <c r="W147" s="82" t="str">
        <f>HYPERLINK("https://www.youtube.com/watch?v=ve2WnwKH8qQ")</f>
        <v>https://www.youtube.com/watch?v=ve2WnwKH8qQ</v>
      </c>
      <c r="X147" s="80" t="s">
        <v>213</v>
      </c>
      <c r="Y147" s="80">
        <v>1</v>
      </c>
      <c r="Z147" s="84">
        <v>43999.97505787037</v>
      </c>
      <c r="AA147" s="84">
        <v>43999.97505787037</v>
      </c>
      <c r="AB147" s="80"/>
      <c r="AC147" s="80"/>
      <c r="AD147" s="80"/>
      <c r="AE147" s="80">
        <v>1</v>
      </c>
      <c r="AF147" s="79" t="str">
        <f>REPLACE(INDEX(GroupVertices[Group],MATCH(Edges[[#This Row],[Vertex 1]],GroupVertices[Vertex],0)),1,1,"")</f>
        <v>21</v>
      </c>
      <c r="AG147" s="79" t="str">
        <f>REPLACE(INDEX(GroupVertices[Group],MATCH(Edges[[#This Row],[Vertex 2]],GroupVertices[Vertex],0)),1,1,"")</f>
        <v>21</v>
      </c>
      <c r="AH147" s="34"/>
      <c r="AI147" s="34"/>
      <c r="AJ147" s="34"/>
      <c r="AK147" s="34"/>
      <c r="AL147" s="34"/>
      <c r="AM147" s="34"/>
      <c r="AN147" s="34"/>
      <c r="AO147" s="34"/>
      <c r="AP147" s="34"/>
    </row>
    <row r="148" spans="1:42" ht="15">
      <c r="A148" s="65" t="s">
        <v>527</v>
      </c>
      <c r="B148" s="65" t="s">
        <v>529</v>
      </c>
      <c r="C148" s="66" t="s">
        <v>1853</v>
      </c>
      <c r="D148" s="67">
        <v>2</v>
      </c>
      <c r="E148" s="68"/>
      <c r="F148" s="69">
        <v>32</v>
      </c>
      <c r="G148" s="66"/>
      <c r="H148" s="70"/>
      <c r="I148" s="71"/>
      <c r="J148" s="71"/>
      <c r="K148" s="34" t="s">
        <v>66</v>
      </c>
      <c r="L148" s="78">
        <v>148</v>
      </c>
      <c r="M148" s="78"/>
      <c r="N148" s="73"/>
      <c r="O148" s="80" t="s">
        <v>211</v>
      </c>
      <c r="P148" s="80" t="s">
        <v>212</v>
      </c>
      <c r="Q148" s="80" t="s">
        <v>755</v>
      </c>
      <c r="R148" s="80" t="s">
        <v>527</v>
      </c>
      <c r="S148" s="80" t="s">
        <v>989</v>
      </c>
      <c r="T148" s="82" t="str">
        <f>HYPERLINK("http://www.youtube.com/channel/UCRQz5Rc4o6-DpSVjGBHSOcA")</f>
        <v>http://www.youtube.com/channel/UCRQz5Rc4o6-DpSVjGBHSOcA</v>
      </c>
      <c r="U148" s="80" t="s">
        <v>1126</v>
      </c>
      <c r="V148" s="80" t="s">
        <v>1207</v>
      </c>
      <c r="W148" s="82" t="str">
        <f>HYPERLINK("https://www.youtube.com/watch?v=ve2WnwKH8qQ")</f>
        <v>https://www.youtube.com/watch?v=ve2WnwKH8qQ</v>
      </c>
      <c r="X148" s="80" t="s">
        <v>213</v>
      </c>
      <c r="Y148" s="80">
        <v>0</v>
      </c>
      <c r="Z148" s="84">
        <v>44001.07173611111</v>
      </c>
      <c r="AA148" s="84">
        <v>44001.07173611111</v>
      </c>
      <c r="AB148" s="80"/>
      <c r="AC148" s="80"/>
      <c r="AD148" s="80"/>
      <c r="AE148" s="80">
        <v>1</v>
      </c>
      <c r="AF148" s="79" t="str">
        <f>REPLACE(INDEX(GroupVertices[Group],MATCH(Edges[[#This Row],[Vertex 1]],GroupVertices[Vertex],0)),1,1,"")</f>
        <v>21</v>
      </c>
      <c r="AG148" s="79" t="str">
        <f>REPLACE(INDEX(GroupVertices[Group],MATCH(Edges[[#This Row],[Vertex 2]],GroupVertices[Vertex],0)),1,1,"")</f>
        <v>21</v>
      </c>
      <c r="AH148" s="34"/>
      <c r="AI148" s="34"/>
      <c r="AJ148" s="34"/>
      <c r="AK148" s="34"/>
      <c r="AL148" s="34"/>
      <c r="AM148" s="34"/>
      <c r="AN148" s="34"/>
      <c r="AO148" s="34"/>
      <c r="AP148" s="34"/>
    </row>
    <row r="149" spans="1:42" ht="15">
      <c r="A149" s="65" t="s">
        <v>529</v>
      </c>
      <c r="B149" s="65" t="s">
        <v>527</v>
      </c>
      <c r="C149" s="66" t="s">
        <v>1853</v>
      </c>
      <c r="D149" s="67">
        <v>2</v>
      </c>
      <c r="E149" s="68"/>
      <c r="F149" s="69">
        <v>32</v>
      </c>
      <c r="G149" s="66"/>
      <c r="H149" s="70"/>
      <c r="I149" s="71"/>
      <c r="J149" s="71"/>
      <c r="K149" s="34" t="s">
        <v>66</v>
      </c>
      <c r="L149" s="78">
        <v>149</v>
      </c>
      <c r="M149" s="78"/>
      <c r="N149" s="73"/>
      <c r="O149" s="80" t="s">
        <v>210</v>
      </c>
      <c r="P149" s="80" t="s">
        <v>196</v>
      </c>
      <c r="Q149" s="80" t="s">
        <v>756</v>
      </c>
      <c r="R149" s="80" t="s">
        <v>529</v>
      </c>
      <c r="S149" s="80" t="s">
        <v>991</v>
      </c>
      <c r="T149" s="82" t="str">
        <f>HYPERLINK("http://www.youtube.com/channel/UC3S9R3RAVMfBQweaX5eBxag")</f>
        <v>http://www.youtube.com/channel/UC3S9R3RAVMfBQweaX5eBxag</v>
      </c>
      <c r="U149" s="80"/>
      <c r="V149" s="80" t="s">
        <v>1207</v>
      </c>
      <c r="W149" s="82" t="str">
        <f>HYPERLINK("https://www.youtube.com/watch?v=ve2WnwKH8qQ")</f>
        <v>https://www.youtube.com/watch?v=ve2WnwKH8qQ</v>
      </c>
      <c r="X149" s="80" t="s">
        <v>213</v>
      </c>
      <c r="Y149" s="80">
        <v>1</v>
      </c>
      <c r="Z149" s="84">
        <v>44001.022835648146</v>
      </c>
      <c r="AA149" s="84">
        <v>44001.022835648146</v>
      </c>
      <c r="AB149" s="80"/>
      <c r="AC149" s="80"/>
      <c r="AD149" s="80"/>
      <c r="AE149" s="80">
        <v>1</v>
      </c>
      <c r="AF149" s="79" t="str">
        <f>REPLACE(INDEX(GroupVertices[Group],MATCH(Edges[[#This Row],[Vertex 1]],GroupVertices[Vertex],0)),1,1,"")</f>
        <v>21</v>
      </c>
      <c r="AG149" s="79" t="str">
        <f>REPLACE(INDEX(GroupVertices[Group],MATCH(Edges[[#This Row],[Vertex 2]],GroupVertices[Vertex],0)),1,1,"")</f>
        <v>21</v>
      </c>
      <c r="AH149" s="34"/>
      <c r="AI149" s="34"/>
      <c r="AJ149" s="34"/>
      <c r="AK149" s="34"/>
      <c r="AL149" s="34"/>
      <c r="AM149" s="34"/>
      <c r="AN149" s="34"/>
      <c r="AO149" s="34"/>
      <c r="AP149" s="34"/>
    </row>
    <row r="150" spans="1:42" ht="15">
      <c r="A150" s="65" t="s">
        <v>530</v>
      </c>
      <c r="B150" s="65" t="s">
        <v>531</v>
      </c>
      <c r="C150" s="66" t="s">
        <v>1853</v>
      </c>
      <c r="D150" s="67">
        <v>2</v>
      </c>
      <c r="E150" s="68"/>
      <c r="F150" s="69">
        <v>32</v>
      </c>
      <c r="G150" s="66"/>
      <c r="H150" s="70"/>
      <c r="I150" s="71"/>
      <c r="J150" s="71"/>
      <c r="K150" s="34" t="s">
        <v>66</v>
      </c>
      <c r="L150" s="78">
        <v>150</v>
      </c>
      <c r="M150" s="78"/>
      <c r="N150" s="73"/>
      <c r="O150" s="80" t="s">
        <v>211</v>
      </c>
      <c r="P150" s="80" t="s">
        <v>212</v>
      </c>
      <c r="Q150" s="80" t="s">
        <v>757</v>
      </c>
      <c r="R150" s="80" t="s">
        <v>530</v>
      </c>
      <c r="S150" s="80" t="s">
        <v>992</v>
      </c>
      <c r="T150" s="82" t="str">
        <f>HYPERLINK("http://www.youtube.com/channel/UCAg-ddg4ptqzTP8mu4NlLSA")</f>
        <v>http://www.youtube.com/channel/UCAg-ddg4ptqzTP8mu4NlLSA</v>
      </c>
      <c r="U150" s="80" t="s">
        <v>1127</v>
      </c>
      <c r="V150" s="80" t="s">
        <v>1208</v>
      </c>
      <c r="W150" s="82" t="str">
        <f>HYPERLINK("https://www.youtube.com/watch?v=hSpuKSUQv9s")</f>
        <v>https://www.youtube.com/watch?v=hSpuKSUQv9s</v>
      </c>
      <c r="X150" s="80" t="s">
        <v>213</v>
      </c>
      <c r="Y150" s="80">
        <v>0</v>
      </c>
      <c r="Z150" s="84">
        <v>44000.787303240744</v>
      </c>
      <c r="AA150" s="84">
        <v>44000.787303240744</v>
      </c>
      <c r="AB150" s="80"/>
      <c r="AC150" s="80"/>
      <c r="AD150" s="80"/>
      <c r="AE150" s="80">
        <v>1</v>
      </c>
      <c r="AF150" s="79" t="str">
        <f>REPLACE(INDEX(GroupVertices[Group],MATCH(Edges[[#This Row],[Vertex 1]],GroupVertices[Vertex],0)),1,1,"")</f>
        <v>16</v>
      </c>
      <c r="AG150" s="79" t="str">
        <f>REPLACE(INDEX(GroupVertices[Group],MATCH(Edges[[#This Row],[Vertex 2]],GroupVertices[Vertex],0)),1,1,"")</f>
        <v>16</v>
      </c>
      <c r="AH150" s="34"/>
      <c r="AI150" s="34"/>
      <c r="AJ150" s="34"/>
      <c r="AK150" s="34"/>
      <c r="AL150" s="34"/>
      <c r="AM150" s="34"/>
      <c r="AN150" s="34"/>
      <c r="AO150" s="34"/>
      <c r="AP150" s="34"/>
    </row>
    <row r="151" spans="1:42" ht="15">
      <c r="A151" s="65" t="s">
        <v>531</v>
      </c>
      <c r="B151" s="65" t="s">
        <v>530</v>
      </c>
      <c r="C151" s="66" t="s">
        <v>1853</v>
      </c>
      <c r="D151" s="67">
        <v>2</v>
      </c>
      <c r="E151" s="68"/>
      <c r="F151" s="69">
        <v>32</v>
      </c>
      <c r="G151" s="66"/>
      <c r="H151" s="70"/>
      <c r="I151" s="71"/>
      <c r="J151" s="71"/>
      <c r="K151" s="34" t="s">
        <v>66</v>
      </c>
      <c r="L151" s="78">
        <v>151</v>
      </c>
      <c r="M151" s="78"/>
      <c r="N151" s="73"/>
      <c r="O151" s="80" t="s">
        <v>210</v>
      </c>
      <c r="P151" s="80" t="s">
        <v>196</v>
      </c>
      <c r="Q151" s="80" t="s">
        <v>758</v>
      </c>
      <c r="R151" s="80" t="s">
        <v>531</v>
      </c>
      <c r="S151" s="80" t="s">
        <v>993</v>
      </c>
      <c r="T151" s="82" t="str">
        <f>HYPERLINK("http://www.youtube.com/channel/UC5LyETPCxuEaYPmti9mTzuw")</f>
        <v>http://www.youtube.com/channel/UC5LyETPCxuEaYPmti9mTzuw</v>
      </c>
      <c r="U151" s="80"/>
      <c r="V151" s="80" t="s">
        <v>1208</v>
      </c>
      <c r="W151" s="82" t="str">
        <f>HYPERLINK("https://www.youtube.com/watch?v=hSpuKSUQv9s")</f>
        <v>https://www.youtube.com/watch?v=hSpuKSUQv9s</v>
      </c>
      <c r="X151" s="80" t="s">
        <v>213</v>
      </c>
      <c r="Y151" s="80">
        <v>2</v>
      </c>
      <c r="Z151" s="84">
        <v>44000.11355324074</v>
      </c>
      <c r="AA151" s="84">
        <v>44000.11355324074</v>
      </c>
      <c r="AB151" s="80"/>
      <c r="AC151" s="80"/>
      <c r="AD151" s="80"/>
      <c r="AE151" s="80">
        <v>1</v>
      </c>
      <c r="AF151" s="79" t="str">
        <f>REPLACE(INDEX(GroupVertices[Group],MATCH(Edges[[#This Row],[Vertex 1]],GroupVertices[Vertex],0)),1,1,"")</f>
        <v>16</v>
      </c>
      <c r="AG151" s="79" t="str">
        <f>REPLACE(INDEX(GroupVertices[Group],MATCH(Edges[[#This Row],[Vertex 2]],GroupVertices[Vertex],0)),1,1,"")</f>
        <v>16</v>
      </c>
      <c r="AH151" s="34"/>
      <c r="AI151" s="34"/>
      <c r="AJ151" s="34"/>
      <c r="AK151" s="34"/>
      <c r="AL151" s="34"/>
      <c r="AM151" s="34"/>
      <c r="AN151" s="34"/>
      <c r="AO151" s="34"/>
      <c r="AP151" s="34"/>
    </row>
    <row r="152" spans="1:42" ht="15">
      <c r="A152" s="65" t="s">
        <v>530</v>
      </c>
      <c r="B152" s="65" t="s">
        <v>532</v>
      </c>
      <c r="C152" s="66" t="s">
        <v>1853</v>
      </c>
      <c r="D152" s="67">
        <v>2</v>
      </c>
      <c r="E152" s="68"/>
      <c r="F152" s="69">
        <v>32</v>
      </c>
      <c r="G152" s="66"/>
      <c r="H152" s="70"/>
      <c r="I152" s="71"/>
      <c r="J152" s="71"/>
      <c r="K152" s="34" t="s">
        <v>66</v>
      </c>
      <c r="L152" s="78">
        <v>152</v>
      </c>
      <c r="M152" s="78"/>
      <c r="N152" s="73"/>
      <c r="O152" s="80" t="s">
        <v>211</v>
      </c>
      <c r="P152" s="80" t="s">
        <v>212</v>
      </c>
      <c r="Q152" s="80" t="s">
        <v>759</v>
      </c>
      <c r="R152" s="80" t="s">
        <v>530</v>
      </c>
      <c r="S152" s="80" t="s">
        <v>992</v>
      </c>
      <c r="T152" s="82" t="str">
        <f>HYPERLINK("http://www.youtube.com/channel/UCAg-ddg4ptqzTP8mu4NlLSA")</f>
        <v>http://www.youtube.com/channel/UCAg-ddg4ptqzTP8mu4NlLSA</v>
      </c>
      <c r="U152" s="80" t="s">
        <v>1128</v>
      </c>
      <c r="V152" s="80" t="s">
        <v>1208</v>
      </c>
      <c r="W152" s="82" t="str">
        <f>HYPERLINK("https://www.youtube.com/watch?v=hSpuKSUQv9s")</f>
        <v>https://www.youtube.com/watch?v=hSpuKSUQv9s</v>
      </c>
      <c r="X152" s="80" t="s">
        <v>213</v>
      </c>
      <c r="Y152" s="80">
        <v>0</v>
      </c>
      <c r="Z152" s="84">
        <v>44000.78635416667</v>
      </c>
      <c r="AA152" s="84">
        <v>44000.78635416667</v>
      </c>
      <c r="AB152" s="80"/>
      <c r="AC152" s="80"/>
      <c r="AD152" s="80"/>
      <c r="AE152" s="80">
        <v>1</v>
      </c>
      <c r="AF152" s="79" t="str">
        <f>REPLACE(INDEX(GroupVertices[Group],MATCH(Edges[[#This Row],[Vertex 1]],GroupVertices[Vertex],0)),1,1,"")</f>
        <v>16</v>
      </c>
      <c r="AG152" s="79" t="str">
        <f>REPLACE(INDEX(GroupVertices[Group],MATCH(Edges[[#This Row],[Vertex 2]],GroupVertices[Vertex],0)),1,1,"")</f>
        <v>16</v>
      </c>
      <c r="AH152" s="34"/>
      <c r="AI152" s="34"/>
      <c r="AJ152" s="34"/>
      <c r="AK152" s="34"/>
      <c r="AL152" s="34"/>
      <c r="AM152" s="34"/>
      <c r="AN152" s="34"/>
      <c r="AO152" s="34"/>
      <c r="AP152" s="34"/>
    </row>
    <row r="153" spans="1:42" ht="15">
      <c r="A153" s="65" t="s">
        <v>532</v>
      </c>
      <c r="B153" s="65" t="s">
        <v>530</v>
      </c>
      <c r="C153" s="66" t="s">
        <v>1853</v>
      </c>
      <c r="D153" s="67">
        <v>2</v>
      </c>
      <c r="E153" s="68"/>
      <c r="F153" s="69">
        <v>32</v>
      </c>
      <c r="G153" s="66"/>
      <c r="H153" s="70"/>
      <c r="I153" s="71"/>
      <c r="J153" s="71"/>
      <c r="K153" s="34" t="s">
        <v>66</v>
      </c>
      <c r="L153" s="78">
        <v>153</v>
      </c>
      <c r="M153" s="78"/>
      <c r="N153" s="73"/>
      <c r="O153" s="80" t="s">
        <v>210</v>
      </c>
      <c r="P153" s="80" t="s">
        <v>196</v>
      </c>
      <c r="Q153" s="80" t="s">
        <v>760</v>
      </c>
      <c r="R153" s="80" t="s">
        <v>532</v>
      </c>
      <c r="S153" s="80" t="s">
        <v>994</v>
      </c>
      <c r="T153" s="82" t="str">
        <f>HYPERLINK("http://www.youtube.com/channel/UC9RZiT46dtS22LEl-PBEuxg")</f>
        <v>http://www.youtube.com/channel/UC9RZiT46dtS22LEl-PBEuxg</v>
      </c>
      <c r="U153" s="80"/>
      <c r="V153" s="80" t="s">
        <v>1208</v>
      </c>
      <c r="W153" s="82" t="str">
        <f>HYPERLINK("https://www.youtube.com/watch?v=hSpuKSUQv9s")</f>
        <v>https://www.youtube.com/watch?v=hSpuKSUQv9s</v>
      </c>
      <c r="X153" s="80" t="s">
        <v>213</v>
      </c>
      <c r="Y153" s="80">
        <v>1</v>
      </c>
      <c r="Z153" s="84">
        <v>44000.131527777776</v>
      </c>
      <c r="AA153" s="84">
        <v>44000.131527777776</v>
      </c>
      <c r="AB153" s="80"/>
      <c r="AC153" s="80"/>
      <c r="AD153" s="80"/>
      <c r="AE153" s="80">
        <v>1</v>
      </c>
      <c r="AF153" s="79" t="str">
        <f>REPLACE(INDEX(GroupVertices[Group],MATCH(Edges[[#This Row],[Vertex 1]],GroupVertices[Vertex],0)),1,1,"")</f>
        <v>16</v>
      </c>
      <c r="AG153" s="79" t="str">
        <f>REPLACE(INDEX(GroupVertices[Group],MATCH(Edges[[#This Row],[Vertex 2]],GroupVertices[Vertex],0)),1,1,"")</f>
        <v>16</v>
      </c>
      <c r="AH153" s="34"/>
      <c r="AI153" s="34"/>
      <c r="AJ153" s="34"/>
      <c r="AK153" s="34"/>
      <c r="AL153" s="34"/>
      <c r="AM153" s="34"/>
      <c r="AN153" s="34"/>
      <c r="AO153" s="34"/>
      <c r="AP153" s="34"/>
    </row>
    <row r="154" spans="1:42" ht="15">
      <c r="A154" s="65" t="s">
        <v>530</v>
      </c>
      <c r="B154" s="65" t="s">
        <v>533</v>
      </c>
      <c r="C154" s="66" t="s">
        <v>1853</v>
      </c>
      <c r="D154" s="67">
        <v>2</v>
      </c>
      <c r="E154" s="68"/>
      <c r="F154" s="69">
        <v>32</v>
      </c>
      <c r="G154" s="66"/>
      <c r="H154" s="70"/>
      <c r="I154" s="71"/>
      <c r="J154" s="71"/>
      <c r="K154" s="34" t="s">
        <v>66</v>
      </c>
      <c r="L154" s="78">
        <v>154</v>
      </c>
      <c r="M154" s="78"/>
      <c r="N154" s="73"/>
      <c r="O154" s="80" t="s">
        <v>211</v>
      </c>
      <c r="P154" s="80" t="s">
        <v>212</v>
      </c>
      <c r="Q154" s="80" t="s">
        <v>761</v>
      </c>
      <c r="R154" s="80" t="s">
        <v>530</v>
      </c>
      <c r="S154" s="80" t="s">
        <v>992</v>
      </c>
      <c r="T154" s="82" t="str">
        <f>HYPERLINK("http://www.youtube.com/channel/UCAg-ddg4ptqzTP8mu4NlLSA")</f>
        <v>http://www.youtube.com/channel/UCAg-ddg4ptqzTP8mu4NlLSA</v>
      </c>
      <c r="U154" s="80" t="s">
        <v>1129</v>
      </c>
      <c r="V154" s="80" t="s">
        <v>1208</v>
      </c>
      <c r="W154" s="82" t="str">
        <f>HYPERLINK("https://www.youtube.com/watch?v=hSpuKSUQv9s")</f>
        <v>https://www.youtube.com/watch?v=hSpuKSUQv9s</v>
      </c>
      <c r="X154" s="80" t="s">
        <v>213</v>
      </c>
      <c r="Y154" s="80">
        <v>1</v>
      </c>
      <c r="Z154" s="84">
        <v>44000.83143518519</v>
      </c>
      <c r="AA154" s="84">
        <v>44000.83164351852</v>
      </c>
      <c r="AB154" s="80"/>
      <c r="AC154" s="80"/>
      <c r="AD154" s="80"/>
      <c r="AE154" s="80">
        <v>1</v>
      </c>
      <c r="AF154" s="79" t="str">
        <f>REPLACE(INDEX(GroupVertices[Group],MATCH(Edges[[#This Row],[Vertex 1]],GroupVertices[Vertex],0)),1,1,"")</f>
        <v>16</v>
      </c>
      <c r="AG154" s="79" t="str">
        <f>REPLACE(INDEX(GroupVertices[Group],MATCH(Edges[[#This Row],[Vertex 2]],GroupVertices[Vertex],0)),1,1,"")</f>
        <v>16</v>
      </c>
      <c r="AH154" s="34"/>
      <c r="AI154" s="34"/>
      <c r="AJ154" s="34"/>
      <c r="AK154" s="34"/>
      <c r="AL154" s="34"/>
      <c r="AM154" s="34"/>
      <c r="AN154" s="34"/>
      <c r="AO154" s="34"/>
      <c r="AP154" s="34"/>
    </row>
    <row r="155" spans="1:42" ht="15">
      <c r="A155" s="65" t="s">
        <v>533</v>
      </c>
      <c r="B155" s="65" t="s">
        <v>530</v>
      </c>
      <c r="C155" s="66" t="s">
        <v>1853</v>
      </c>
      <c r="D155" s="67">
        <v>2</v>
      </c>
      <c r="E155" s="68"/>
      <c r="F155" s="69">
        <v>32</v>
      </c>
      <c r="G155" s="66"/>
      <c r="H155" s="70"/>
      <c r="I155" s="71"/>
      <c r="J155" s="71"/>
      <c r="K155" s="34" t="s">
        <v>66</v>
      </c>
      <c r="L155" s="78">
        <v>155</v>
      </c>
      <c r="M155" s="78"/>
      <c r="N155" s="73"/>
      <c r="O155" s="80" t="s">
        <v>210</v>
      </c>
      <c r="P155" s="80" t="s">
        <v>196</v>
      </c>
      <c r="Q155" s="80" t="s">
        <v>762</v>
      </c>
      <c r="R155" s="80" t="s">
        <v>533</v>
      </c>
      <c r="S155" s="80" t="s">
        <v>995</v>
      </c>
      <c r="T155" s="82" t="str">
        <f>HYPERLINK("http://www.youtube.com/channel/UC2szASdBgFczKNTFiKYUCIA")</f>
        <v>http://www.youtube.com/channel/UC2szASdBgFczKNTFiKYUCIA</v>
      </c>
      <c r="U155" s="80"/>
      <c r="V155" s="80" t="s">
        <v>1208</v>
      </c>
      <c r="W155" s="82" t="str">
        <f>HYPERLINK("https://www.youtube.com/watch?v=hSpuKSUQv9s")</f>
        <v>https://www.youtube.com/watch?v=hSpuKSUQv9s</v>
      </c>
      <c r="X155" s="80" t="s">
        <v>213</v>
      </c>
      <c r="Y155" s="80">
        <v>1</v>
      </c>
      <c r="Z155" s="84">
        <v>44000.811747685184</v>
      </c>
      <c r="AA155" s="84">
        <v>44000.811747685184</v>
      </c>
      <c r="AB155" s="80"/>
      <c r="AC155" s="80"/>
      <c r="AD155" s="80"/>
      <c r="AE155" s="80">
        <v>1</v>
      </c>
      <c r="AF155" s="79" t="str">
        <f>REPLACE(INDEX(GroupVertices[Group],MATCH(Edges[[#This Row],[Vertex 1]],GroupVertices[Vertex],0)),1,1,"")</f>
        <v>16</v>
      </c>
      <c r="AG155" s="79" t="str">
        <f>REPLACE(INDEX(GroupVertices[Group],MATCH(Edges[[#This Row],[Vertex 2]],GroupVertices[Vertex],0)),1,1,"")</f>
        <v>16</v>
      </c>
      <c r="AH155" s="34"/>
      <c r="AI155" s="34"/>
      <c r="AJ155" s="34"/>
      <c r="AK155" s="34"/>
      <c r="AL155" s="34"/>
      <c r="AM155" s="34"/>
      <c r="AN155" s="34"/>
      <c r="AO155" s="34"/>
      <c r="AP155" s="34"/>
    </row>
    <row r="156" spans="1:42" ht="15">
      <c r="A156" s="65" t="s">
        <v>533</v>
      </c>
      <c r="B156" s="65" t="s">
        <v>533</v>
      </c>
      <c r="C156" s="66" t="s">
        <v>1853</v>
      </c>
      <c r="D156" s="67">
        <v>2</v>
      </c>
      <c r="E156" s="68"/>
      <c r="F156" s="69">
        <v>32</v>
      </c>
      <c r="G156" s="66"/>
      <c r="H156" s="70"/>
      <c r="I156" s="71"/>
      <c r="J156" s="71"/>
      <c r="K156" s="34" t="s">
        <v>65</v>
      </c>
      <c r="L156" s="78">
        <v>156</v>
      </c>
      <c r="M156" s="78"/>
      <c r="N156" s="73"/>
      <c r="O156" s="80" t="s">
        <v>211</v>
      </c>
      <c r="P156" s="80" t="s">
        <v>212</v>
      </c>
      <c r="Q156" s="80" t="s">
        <v>763</v>
      </c>
      <c r="R156" s="80" t="s">
        <v>533</v>
      </c>
      <c r="S156" s="80" t="s">
        <v>995</v>
      </c>
      <c r="T156" s="82" t="str">
        <f>HYPERLINK("http://www.youtube.com/channel/UC2szASdBgFczKNTFiKYUCIA")</f>
        <v>http://www.youtube.com/channel/UC2szASdBgFczKNTFiKYUCIA</v>
      </c>
      <c r="U156" s="80" t="s">
        <v>1129</v>
      </c>
      <c r="V156" s="80" t="s">
        <v>1208</v>
      </c>
      <c r="W156" s="82" t="str">
        <f>HYPERLINK("https://www.youtube.com/watch?v=hSpuKSUQv9s")</f>
        <v>https://www.youtube.com/watch?v=hSpuKSUQv9s</v>
      </c>
      <c r="X156" s="80" t="s">
        <v>213</v>
      </c>
      <c r="Y156" s="80">
        <v>0</v>
      </c>
      <c r="Z156" s="84">
        <v>44000.84364583333</v>
      </c>
      <c r="AA156" s="84">
        <v>44000.84364583333</v>
      </c>
      <c r="AB156" s="80"/>
      <c r="AC156" s="80"/>
      <c r="AD156" s="80"/>
      <c r="AE156" s="80">
        <v>1</v>
      </c>
      <c r="AF156" s="79" t="str">
        <f>REPLACE(INDEX(GroupVertices[Group],MATCH(Edges[[#This Row],[Vertex 1]],GroupVertices[Vertex],0)),1,1,"")</f>
        <v>16</v>
      </c>
      <c r="AG156" s="79" t="str">
        <f>REPLACE(INDEX(GroupVertices[Group],MATCH(Edges[[#This Row],[Vertex 2]],GroupVertices[Vertex],0)),1,1,"")</f>
        <v>16</v>
      </c>
      <c r="AH156" s="34"/>
      <c r="AI156" s="34"/>
      <c r="AJ156" s="34"/>
      <c r="AK156" s="34"/>
      <c r="AL156" s="34"/>
      <c r="AM156" s="34"/>
      <c r="AN156" s="34"/>
      <c r="AO156" s="34"/>
      <c r="AP156" s="34"/>
    </row>
    <row r="157" spans="1:42" ht="15">
      <c r="A157" s="65" t="s">
        <v>534</v>
      </c>
      <c r="B157" s="65" t="s">
        <v>535</v>
      </c>
      <c r="C157" s="66" t="s">
        <v>1853</v>
      </c>
      <c r="D157" s="67">
        <v>2</v>
      </c>
      <c r="E157" s="68"/>
      <c r="F157" s="69">
        <v>32</v>
      </c>
      <c r="G157" s="66"/>
      <c r="H157" s="70"/>
      <c r="I157" s="71"/>
      <c r="J157" s="71"/>
      <c r="K157" s="34" t="s">
        <v>65</v>
      </c>
      <c r="L157" s="78">
        <v>157</v>
      </c>
      <c r="M157" s="78"/>
      <c r="N157" s="73"/>
      <c r="O157" s="80" t="s">
        <v>211</v>
      </c>
      <c r="P157" s="80" t="s">
        <v>212</v>
      </c>
      <c r="Q157" s="80" t="s">
        <v>764</v>
      </c>
      <c r="R157" s="80" t="s">
        <v>534</v>
      </c>
      <c r="S157" s="80" t="s">
        <v>996</v>
      </c>
      <c r="T157" s="82" t="str">
        <f>HYPERLINK("http://www.youtube.com/channel/UCvlosdhTvUWZ89TcnFHvofg")</f>
        <v>http://www.youtube.com/channel/UCvlosdhTvUWZ89TcnFHvofg</v>
      </c>
      <c r="U157" s="80" t="s">
        <v>1130</v>
      </c>
      <c r="V157" s="80" t="s">
        <v>1209</v>
      </c>
      <c r="W157" s="82" t="str">
        <f>HYPERLINK("https://www.youtube.com/watch?v=C6vqy30PDnE")</f>
        <v>https://www.youtube.com/watch?v=C6vqy30PDnE</v>
      </c>
      <c r="X157" s="80" t="s">
        <v>213</v>
      </c>
      <c r="Y157" s="80">
        <v>0</v>
      </c>
      <c r="Z157" s="84">
        <v>44001.118159722224</v>
      </c>
      <c r="AA157" s="84">
        <v>44001.118159722224</v>
      </c>
      <c r="AB157" s="80"/>
      <c r="AC157" s="80"/>
      <c r="AD157" s="80"/>
      <c r="AE157" s="80">
        <v>1</v>
      </c>
      <c r="AF157" s="79" t="str">
        <f>REPLACE(INDEX(GroupVertices[Group],MATCH(Edges[[#This Row],[Vertex 1]],GroupVertices[Vertex],0)),1,1,"")</f>
        <v>4</v>
      </c>
      <c r="AG157" s="79" t="str">
        <f>REPLACE(INDEX(GroupVertices[Group],MATCH(Edges[[#This Row],[Vertex 2]],GroupVertices[Vertex],0)),1,1,"")</f>
        <v>4</v>
      </c>
      <c r="AH157" s="34"/>
      <c r="AI157" s="34"/>
      <c r="AJ157" s="34"/>
      <c r="AK157" s="34"/>
      <c r="AL157" s="34"/>
      <c r="AM157" s="34"/>
      <c r="AN157" s="34"/>
      <c r="AO157" s="34"/>
      <c r="AP157" s="34"/>
    </row>
    <row r="158" spans="1:42" ht="15">
      <c r="A158" s="65" t="s">
        <v>535</v>
      </c>
      <c r="B158" s="65" t="s">
        <v>537</v>
      </c>
      <c r="C158" s="66" t="s">
        <v>1853</v>
      </c>
      <c r="D158" s="67">
        <v>2</v>
      </c>
      <c r="E158" s="68"/>
      <c r="F158" s="69">
        <v>32</v>
      </c>
      <c r="G158" s="66"/>
      <c r="H158" s="70"/>
      <c r="I158" s="71"/>
      <c r="J158" s="71"/>
      <c r="K158" s="34" t="s">
        <v>65</v>
      </c>
      <c r="L158" s="78">
        <v>158</v>
      </c>
      <c r="M158" s="78"/>
      <c r="N158" s="73"/>
      <c r="O158" s="80" t="s">
        <v>210</v>
      </c>
      <c r="P158" s="80" t="s">
        <v>196</v>
      </c>
      <c r="Q158" s="80" t="s">
        <v>765</v>
      </c>
      <c r="R158" s="80" t="s">
        <v>535</v>
      </c>
      <c r="S158" s="80" t="s">
        <v>997</v>
      </c>
      <c r="T158" s="82" t="str">
        <f>HYPERLINK("http://www.youtube.com/channel/UC2ZbM5tCkoPwS1LezjwBSmw")</f>
        <v>http://www.youtube.com/channel/UC2ZbM5tCkoPwS1LezjwBSmw</v>
      </c>
      <c r="U158" s="80"/>
      <c r="V158" s="80" t="s">
        <v>1209</v>
      </c>
      <c r="W158" s="82" t="str">
        <f>HYPERLINK("https://www.youtube.com/watch?v=C6vqy30PDnE")</f>
        <v>https://www.youtube.com/watch?v=C6vqy30PDnE</v>
      </c>
      <c r="X158" s="80" t="s">
        <v>213</v>
      </c>
      <c r="Y158" s="80">
        <v>5</v>
      </c>
      <c r="Z158" s="84">
        <v>44000.566354166665</v>
      </c>
      <c r="AA158" s="84">
        <v>44000.566354166665</v>
      </c>
      <c r="AB158" s="80"/>
      <c r="AC158" s="80"/>
      <c r="AD158" s="80"/>
      <c r="AE158" s="80">
        <v>1</v>
      </c>
      <c r="AF158" s="79" t="str">
        <f>REPLACE(INDEX(GroupVertices[Group],MATCH(Edges[[#This Row],[Vertex 1]],GroupVertices[Vertex],0)),1,1,"")</f>
        <v>4</v>
      </c>
      <c r="AG158" s="79" t="str">
        <f>REPLACE(INDEX(GroupVertices[Group],MATCH(Edges[[#This Row],[Vertex 2]],GroupVertices[Vertex],0)),1,1,"")</f>
        <v>4</v>
      </c>
      <c r="AH158" s="34"/>
      <c r="AI158" s="34"/>
      <c r="AJ158" s="34"/>
      <c r="AK158" s="34"/>
      <c r="AL158" s="34"/>
      <c r="AM158" s="34"/>
      <c r="AN158" s="34"/>
      <c r="AO158" s="34"/>
      <c r="AP158" s="34"/>
    </row>
    <row r="159" spans="1:42" ht="15">
      <c r="A159" s="65" t="s">
        <v>536</v>
      </c>
      <c r="B159" s="65" t="s">
        <v>538</v>
      </c>
      <c r="C159" s="66" t="s">
        <v>1853</v>
      </c>
      <c r="D159" s="67">
        <v>2</v>
      </c>
      <c r="E159" s="68"/>
      <c r="F159" s="69">
        <v>32</v>
      </c>
      <c r="G159" s="66"/>
      <c r="H159" s="70"/>
      <c r="I159" s="71"/>
      <c r="J159" s="71"/>
      <c r="K159" s="34" t="s">
        <v>65</v>
      </c>
      <c r="L159" s="78">
        <v>159</v>
      </c>
      <c r="M159" s="78"/>
      <c r="N159" s="73"/>
      <c r="O159" s="80" t="s">
        <v>211</v>
      </c>
      <c r="P159" s="80" t="s">
        <v>212</v>
      </c>
      <c r="Q159" s="80" t="s">
        <v>766</v>
      </c>
      <c r="R159" s="80" t="s">
        <v>536</v>
      </c>
      <c r="S159" s="80" t="s">
        <v>998</v>
      </c>
      <c r="T159" s="82" t="str">
        <f>HYPERLINK("http://www.youtube.com/channel/UC05MrtGm6lSEgw7U-oZu3DQ")</f>
        <v>http://www.youtube.com/channel/UC05MrtGm6lSEgw7U-oZu3DQ</v>
      </c>
      <c r="U159" s="80" t="s">
        <v>1131</v>
      </c>
      <c r="V159" s="80" t="s">
        <v>1209</v>
      </c>
      <c r="W159" s="82" t="str">
        <f>HYPERLINK("https://www.youtube.com/watch?v=C6vqy30PDnE")</f>
        <v>https://www.youtube.com/watch?v=C6vqy30PDnE</v>
      </c>
      <c r="X159" s="80" t="s">
        <v>213</v>
      </c>
      <c r="Y159" s="80">
        <v>0</v>
      </c>
      <c r="Z159" s="84">
        <v>44000.59900462963</v>
      </c>
      <c r="AA159" s="84">
        <v>44000.59900462963</v>
      </c>
      <c r="AB159" s="80"/>
      <c r="AC159" s="80"/>
      <c r="AD159" s="80"/>
      <c r="AE159" s="80">
        <v>1</v>
      </c>
      <c r="AF159" s="79" t="str">
        <f>REPLACE(INDEX(GroupVertices[Group],MATCH(Edges[[#This Row],[Vertex 1]],GroupVertices[Vertex],0)),1,1,"")</f>
        <v>4</v>
      </c>
      <c r="AG159" s="79" t="str">
        <f>REPLACE(INDEX(GroupVertices[Group],MATCH(Edges[[#This Row],[Vertex 2]],GroupVertices[Vertex],0)),1,1,"")</f>
        <v>4</v>
      </c>
      <c r="AH159" s="34"/>
      <c r="AI159" s="34"/>
      <c r="AJ159" s="34"/>
      <c r="AK159" s="34"/>
      <c r="AL159" s="34"/>
      <c r="AM159" s="34"/>
      <c r="AN159" s="34"/>
      <c r="AO159" s="34"/>
      <c r="AP159" s="34"/>
    </row>
    <row r="160" spans="1:42" ht="15">
      <c r="A160" s="65" t="s">
        <v>537</v>
      </c>
      <c r="B160" s="65" t="s">
        <v>538</v>
      </c>
      <c r="C160" s="66" t="s">
        <v>1853</v>
      </c>
      <c r="D160" s="67">
        <v>2</v>
      </c>
      <c r="E160" s="68"/>
      <c r="F160" s="69">
        <v>32</v>
      </c>
      <c r="G160" s="66"/>
      <c r="H160" s="70"/>
      <c r="I160" s="71"/>
      <c r="J160" s="71"/>
      <c r="K160" s="34" t="s">
        <v>66</v>
      </c>
      <c r="L160" s="78">
        <v>160</v>
      </c>
      <c r="M160" s="78"/>
      <c r="N160" s="73"/>
      <c r="O160" s="80" t="s">
        <v>211</v>
      </c>
      <c r="P160" s="80" t="s">
        <v>212</v>
      </c>
      <c r="Q160" s="80" t="s">
        <v>767</v>
      </c>
      <c r="R160" s="80" t="s">
        <v>537</v>
      </c>
      <c r="S160" s="80" t="s">
        <v>999</v>
      </c>
      <c r="T160" s="82" t="str">
        <f>HYPERLINK("http://www.youtube.com/channel/UCSxX7Vgyu9iThxPE1jSDFdw")</f>
        <v>http://www.youtube.com/channel/UCSxX7Vgyu9iThxPE1jSDFdw</v>
      </c>
      <c r="U160" s="80" t="s">
        <v>1131</v>
      </c>
      <c r="V160" s="80" t="s">
        <v>1209</v>
      </c>
      <c r="W160" s="82" t="str">
        <f>HYPERLINK("https://www.youtube.com/watch?v=C6vqy30PDnE")</f>
        <v>https://www.youtube.com/watch?v=C6vqy30PDnE</v>
      </c>
      <c r="X160" s="80" t="s">
        <v>213</v>
      </c>
      <c r="Y160" s="80">
        <v>1</v>
      </c>
      <c r="Z160" s="84">
        <v>44000.734189814815</v>
      </c>
      <c r="AA160" s="84">
        <v>44000.734189814815</v>
      </c>
      <c r="AB160" s="80"/>
      <c r="AC160" s="80"/>
      <c r="AD160" s="80"/>
      <c r="AE160" s="80">
        <v>1</v>
      </c>
      <c r="AF160" s="79" t="str">
        <f>REPLACE(INDEX(GroupVertices[Group],MATCH(Edges[[#This Row],[Vertex 1]],GroupVertices[Vertex],0)),1,1,"")</f>
        <v>4</v>
      </c>
      <c r="AG160" s="79" t="str">
        <f>REPLACE(INDEX(GroupVertices[Group],MATCH(Edges[[#This Row],[Vertex 2]],GroupVertices[Vertex],0)),1,1,"")</f>
        <v>4</v>
      </c>
      <c r="AH160" s="34"/>
      <c r="AI160" s="34"/>
      <c r="AJ160" s="34"/>
      <c r="AK160" s="34"/>
      <c r="AL160" s="34"/>
      <c r="AM160" s="34"/>
      <c r="AN160" s="34"/>
      <c r="AO160" s="34"/>
      <c r="AP160" s="34"/>
    </row>
    <row r="161" spans="1:42" ht="15">
      <c r="A161" s="65" t="s">
        <v>538</v>
      </c>
      <c r="B161" s="65" t="s">
        <v>537</v>
      </c>
      <c r="C161" s="66" t="s">
        <v>1853</v>
      </c>
      <c r="D161" s="67">
        <v>2</v>
      </c>
      <c r="E161" s="68"/>
      <c r="F161" s="69">
        <v>32</v>
      </c>
      <c r="G161" s="66"/>
      <c r="H161" s="70"/>
      <c r="I161" s="71"/>
      <c r="J161" s="71"/>
      <c r="K161" s="34" t="s">
        <v>66</v>
      </c>
      <c r="L161" s="78">
        <v>161</v>
      </c>
      <c r="M161" s="78"/>
      <c r="N161" s="73"/>
      <c r="O161" s="80" t="s">
        <v>210</v>
      </c>
      <c r="P161" s="80" t="s">
        <v>196</v>
      </c>
      <c r="Q161" s="80" t="s">
        <v>768</v>
      </c>
      <c r="R161" s="80" t="s">
        <v>538</v>
      </c>
      <c r="S161" s="80" t="s">
        <v>1000</v>
      </c>
      <c r="T161" s="82" t="str">
        <f>HYPERLINK("http://www.youtube.com/channel/UCO_FTEu2uUhHWtga98GFnbg")</f>
        <v>http://www.youtube.com/channel/UCO_FTEu2uUhHWtga98GFnbg</v>
      </c>
      <c r="U161" s="80"/>
      <c r="V161" s="80" t="s">
        <v>1209</v>
      </c>
      <c r="W161" s="82" t="str">
        <f>HYPERLINK("https://www.youtube.com/watch?v=C6vqy30PDnE")</f>
        <v>https://www.youtube.com/watch?v=C6vqy30PDnE</v>
      </c>
      <c r="X161" s="80" t="s">
        <v>213</v>
      </c>
      <c r="Y161" s="80">
        <v>0</v>
      </c>
      <c r="Z161" s="84">
        <v>44000.57980324074</v>
      </c>
      <c r="AA161" s="84">
        <v>44000.57980324074</v>
      </c>
      <c r="AB161" s="80"/>
      <c r="AC161" s="80"/>
      <c r="AD161" s="80"/>
      <c r="AE161" s="80">
        <v>1</v>
      </c>
      <c r="AF161" s="79" t="str">
        <f>REPLACE(INDEX(GroupVertices[Group],MATCH(Edges[[#This Row],[Vertex 1]],GroupVertices[Vertex],0)),1,1,"")</f>
        <v>4</v>
      </c>
      <c r="AG161" s="79" t="str">
        <f>REPLACE(INDEX(GroupVertices[Group],MATCH(Edges[[#This Row],[Vertex 2]],GroupVertices[Vertex],0)),1,1,"")</f>
        <v>4</v>
      </c>
      <c r="AH161" s="34"/>
      <c r="AI161" s="34"/>
      <c r="AJ161" s="34"/>
      <c r="AK161" s="34"/>
      <c r="AL161" s="34"/>
      <c r="AM161" s="34"/>
      <c r="AN161" s="34"/>
      <c r="AO161" s="34"/>
      <c r="AP161" s="34"/>
    </row>
    <row r="162" spans="1:42" ht="15">
      <c r="A162" s="65" t="s">
        <v>537</v>
      </c>
      <c r="B162" s="65" t="s">
        <v>539</v>
      </c>
      <c r="C162" s="66" t="s">
        <v>1853</v>
      </c>
      <c r="D162" s="67">
        <v>2</v>
      </c>
      <c r="E162" s="68"/>
      <c r="F162" s="69">
        <v>32</v>
      </c>
      <c r="G162" s="66"/>
      <c r="H162" s="70"/>
      <c r="I162" s="71"/>
      <c r="J162" s="71"/>
      <c r="K162" s="34" t="s">
        <v>66</v>
      </c>
      <c r="L162" s="78">
        <v>162</v>
      </c>
      <c r="M162" s="78"/>
      <c r="N162" s="73"/>
      <c r="O162" s="80" t="s">
        <v>211</v>
      </c>
      <c r="P162" s="80" t="s">
        <v>212</v>
      </c>
      <c r="Q162" s="80" t="s">
        <v>769</v>
      </c>
      <c r="R162" s="80" t="s">
        <v>537</v>
      </c>
      <c r="S162" s="80" t="s">
        <v>999</v>
      </c>
      <c r="T162" s="82" t="str">
        <f>HYPERLINK("http://www.youtube.com/channel/UCSxX7Vgyu9iThxPE1jSDFdw")</f>
        <v>http://www.youtube.com/channel/UCSxX7Vgyu9iThxPE1jSDFdw</v>
      </c>
      <c r="U162" s="80" t="s">
        <v>1132</v>
      </c>
      <c r="V162" s="80" t="s">
        <v>1209</v>
      </c>
      <c r="W162" s="82" t="str">
        <f>HYPERLINK("https://www.youtube.com/watch?v=C6vqy30PDnE")</f>
        <v>https://www.youtube.com/watch?v=C6vqy30PDnE</v>
      </c>
      <c r="X162" s="80" t="s">
        <v>213</v>
      </c>
      <c r="Y162" s="80">
        <v>0</v>
      </c>
      <c r="Z162" s="84">
        <v>44000.73473379629</v>
      </c>
      <c r="AA162" s="84">
        <v>44000.73473379629</v>
      </c>
      <c r="AB162" s="80"/>
      <c r="AC162" s="80"/>
      <c r="AD162" s="80"/>
      <c r="AE162" s="80">
        <v>1</v>
      </c>
      <c r="AF162" s="79" t="str">
        <f>REPLACE(INDEX(GroupVertices[Group],MATCH(Edges[[#This Row],[Vertex 1]],GroupVertices[Vertex],0)),1,1,"")</f>
        <v>4</v>
      </c>
      <c r="AG162" s="79" t="str">
        <f>REPLACE(INDEX(GroupVertices[Group],MATCH(Edges[[#This Row],[Vertex 2]],GroupVertices[Vertex],0)),1,1,"")</f>
        <v>4</v>
      </c>
      <c r="AH162" s="34"/>
      <c r="AI162" s="34"/>
      <c r="AJ162" s="34"/>
      <c r="AK162" s="34"/>
      <c r="AL162" s="34"/>
      <c r="AM162" s="34"/>
      <c r="AN162" s="34"/>
      <c r="AO162" s="34"/>
      <c r="AP162" s="34"/>
    </row>
    <row r="163" spans="1:42" ht="15">
      <c r="A163" s="65" t="s">
        <v>539</v>
      </c>
      <c r="B163" s="65" t="s">
        <v>537</v>
      </c>
      <c r="C163" s="66" t="s">
        <v>1853</v>
      </c>
      <c r="D163" s="67">
        <v>2</v>
      </c>
      <c r="E163" s="68"/>
      <c r="F163" s="69">
        <v>32</v>
      </c>
      <c r="G163" s="66"/>
      <c r="H163" s="70"/>
      <c r="I163" s="71"/>
      <c r="J163" s="71"/>
      <c r="K163" s="34" t="s">
        <v>66</v>
      </c>
      <c r="L163" s="78">
        <v>163</v>
      </c>
      <c r="M163" s="78"/>
      <c r="N163" s="73"/>
      <c r="O163" s="80" t="s">
        <v>210</v>
      </c>
      <c r="P163" s="80" t="s">
        <v>196</v>
      </c>
      <c r="Q163" s="80" t="s">
        <v>770</v>
      </c>
      <c r="R163" s="80" t="s">
        <v>539</v>
      </c>
      <c r="S163" s="80" t="s">
        <v>1001</v>
      </c>
      <c r="T163" s="82" t="str">
        <f>HYPERLINK("http://www.youtube.com/channel/UCBO0DGXXeS7TTpvsOJ2VMKA")</f>
        <v>http://www.youtube.com/channel/UCBO0DGXXeS7TTpvsOJ2VMKA</v>
      </c>
      <c r="U163" s="80"/>
      <c r="V163" s="80" t="s">
        <v>1209</v>
      </c>
      <c r="W163" s="82" t="str">
        <f>HYPERLINK("https://www.youtube.com/watch?v=C6vqy30PDnE")</f>
        <v>https://www.youtube.com/watch?v=C6vqy30PDnE</v>
      </c>
      <c r="X163" s="80" t="s">
        <v>213</v>
      </c>
      <c r="Y163" s="80">
        <v>0</v>
      </c>
      <c r="Z163" s="84">
        <v>44000.604537037034</v>
      </c>
      <c r="AA163" s="84">
        <v>44000.604537037034</v>
      </c>
      <c r="AB163" s="80"/>
      <c r="AC163" s="80"/>
      <c r="AD163" s="80"/>
      <c r="AE163" s="80">
        <v>1</v>
      </c>
      <c r="AF163" s="79" t="str">
        <f>REPLACE(INDEX(GroupVertices[Group],MATCH(Edges[[#This Row],[Vertex 1]],GroupVertices[Vertex],0)),1,1,"")</f>
        <v>4</v>
      </c>
      <c r="AG163" s="79" t="str">
        <f>REPLACE(INDEX(GroupVertices[Group],MATCH(Edges[[#This Row],[Vertex 2]],GroupVertices[Vertex],0)),1,1,"")</f>
        <v>4</v>
      </c>
      <c r="AH163" s="34"/>
      <c r="AI163" s="34"/>
      <c r="AJ163" s="34"/>
      <c r="AK163" s="34"/>
      <c r="AL163" s="34"/>
      <c r="AM163" s="34"/>
      <c r="AN163" s="34"/>
      <c r="AO163" s="34"/>
      <c r="AP163" s="34"/>
    </row>
    <row r="164" spans="1:42" ht="15">
      <c r="A164" s="65" t="s">
        <v>537</v>
      </c>
      <c r="B164" s="65" t="s">
        <v>540</v>
      </c>
      <c r="C164" s="66" t="s">
        <v>1853</v>
      </c>
      <c r="D164" s="67">
        <v>2</v>
      </c>
      <c r="E164" s="68"/>
      <c r="F164" s="69">
        <v>32</v>
      </c>
      <c r="G164" s="66"/>
      <c r="H164" s="70"/>
      <c r="I164" s="71"/>
      <c r="J164" s="71"/>
      <c r="K164" s="34" t="s">
        <v>66</v>
      </c>
      <c r="L164" s="78">
        <v>164</v>
      </c>
      <c r="M164" s="78"/>
      <c r="N164" s="73"/>
      <c r="O164" s="80" t="s">
        <v>211</v>
      </c>
      <c r="P164" s="80" t="s">
        <v>212</v>
      </c>
      <c r="Q164" s="80" t="s">
        <v>771</v>
      </c>
      <c r="R164" s="80" t="s">
        <v>537</v>
      </c>
      <c r="S164" s="80" t="s">
        <v>999</v>
      </c>
      <c r="T164" s="82" t="str">
        <f>HYPERLINK("http://www.youtube.com/channel/UCSxX7Vgyu9iThxPE1jSDFdw")</f>
        <v>http://www.youtube.com/channel/UCSxX7Vgyu9iThxPE1jSDFdw</v>
      </c>
      <c r="U164" s="80" t="s">
        <v>1133</v>
      </c>
      <c r="V164" s="80" t="s">
        <v>1209</v>
      </c>
      <c r="W164" s="82" t="str">
        <f>HYPERLINK("https://www.youtube.com/watch?v=C6vqy30PDnE")</f>
        <v>https://www.youtube.com/watch?v=C6vqy30PDnE</v>
      </c>
      <c r="X164" s="80" t="s">
        <v>213</v>
      </c>
      <c r="Y164" s="80">
        <v>0</v>
      </c>
      <c r="Z164" s="84">
        <v>44000.61943287037</v>
      </c>
      <c r="AA164" s="84">
        <v>44000.61943287037</v>
      </c>
      <c r="AB164" s="80"/>
      <c r="AC164" s="80"/>
      <c r="AD164" s="80"/>
      <c r="AE164" s="80">
        <v>1</v>
      </c>
      <c r="AF164" s="79" t="str">
        <f>REPLACE(INDEX(GroupVertices[Group],MATCH(Edges[[#This Row],[Vertex 1]],GroupVertices[Vertex],0)),1,1,"")</f>
        <v>4</v>
      </c>
      <c r="AG164" s="79" t="str">
        <f>REPLACE(INDEX(GroupVertices[Group],MATCH(Edges[[#This Row],[Vertex 2]],GroupVertices[Vertex],0)),1,1,"")</f>
        <v>4</v>
      </c>
      <c r="AH164" s="34"/>
      <c r="AI164" s="34"/>
      <c r="AJ164" s="34"/>
      <c r="AK164" s="34"/>
      <c r="AL164" s="34"/>
      <c r="AM164" s="34"/>
      <c r="AN164" s="34"/>
      <c r="AO164" s="34"/>
      <c r="AP164" s="34"/>
    </row>
    <row r="165" spans="1:42" ht="15">
      <c r="A165" s="65" t="s">
        <v>540</v>
      </c>
      <c r="B165" s="65" t="s">
        <v>537</v>
      </c>
      <c r="C165" s="66" t="s">
        <v>1853</v>
      </c>
      <c r="D165" s="67">
        <v>2</v>
      </c>
      <c r="E165" s="68"/>
      <c r="F165" s="69">
        <v>32</v>
      </c>
      <c r="G165" s="66"/>
      <c r="H165" s="70"/>
      <c r="I165" s="71"/>
      <c r="J165" s="71"/>
      <c r="K165" s="34" t="s">
        <v>66</v>
      </c>
      <c r="L165" s="78">
        <v>165</v>
      </c>
      <c r="M165" s="78"/>
      <c r="N165" s="73"/>
      <c r="O165" s="80" t="s">
        <v>210</v>
      </c>
      <c r="P165" s="80" t="s">
        <v>196</v>
      </c>
      <c r="Q165" s="80" t="s">
        <v>772</v>
      </c>
      <c r="R165" s="80" t="s">
        <v>540</v>
      </c>
      <c r="S165" s="80" t="s">
        <v>1002</v>
      </c>
      <c r="T165" s="82" t="str">
        <f>HYPERLINK("http://www.youtube.com/channel/UCTvYzVFo4Db-JmPqhJLu1kQ")</f>
        <v>http://www.youtube.com/channel/UCTvYzVFo4Db-JmPqhJLu1kQ</v>
      </c>
      <c r="U165" s="80"/>
      <c r="V165" s="80" t="s">
        <v>1209</v>
      </c>
      <c r="W165" s="82" t="str">
        <f>HYPERLINK("https://www.youtube.com/watch?v=C6vqy30PDnE")</f>
        <v>https://www.youtube.com/watch?v=C6vqy30PDnE</v>
      </c>
      <c r="X165" s="80" t="s">
        <v>213</v>
      </c>
      <c r="Y165" s="80">
        <v>4</v>
      </c>
      <c r="Z165" s="84">
        <v>44000.60623842593</v>
      </c>
      <c r="AA165" s="84">
        <v>44000.60623842593</v>
      </c>
      <c r="AB165" s="80"/>
      <c r="AC165" s="80"/>
      <c r="AD165" s="80"/>
      <c r="AE165" s="80">
        <v>1</v>
      </c>
      <c r="AF165" s="79" t="str">
        <f>REPLACE(INDEX(GroupVertices[Group],MATCH(Edges[[#This Row],[Vertex 1]],GroupVertices[Vertex],0)),1,1,"")</f>
        <v>4</v>
      </c>
      <c r="AG165" s="79" t="str">
        <f>REPLACE(INDEX(GroupVertices[Group],MATCH(Edges[[#This Row],[Vertex 2]],GroupVertices[Vertex],0)),1,1,"")</f>
        <v>4</v>
      </c>
      <c r="AH165" s="34"/>
      <c r="AI165" s="34"/>
      <c r="AJ165" s="34"/>
      <c r="AK165" s="34"/>
      <c r="AL165" s="34"/>
      <c r="AM165" s="34"/>
      <c r="AN165" s="34"/>
      <c r="AO165" s="34"/>
      <c r="AP165" s="34"/>
    </row>
    <row r="166" spans="1:42" ht="15">
      <c r="A166" s="65" t="s">
        <v>537</v>
      </c>
      <c r="B166" s="65" t="s">
        <v>541</v>
      </c>
      <c r="C166" s="66" t="s">
        <v>1853</v>
      </c>
      <c r="D166" s="67">
        <v>2</v>
      </c>
      <c r="E166" s="68"/>
      <c r="F166" s="69">
        <v>32</v>
      </c>
      <c r="G166" s="66"/>
      <c r="H166" s="70"/>
      <c r="I166" s="71"/>
      <c r="J166" s="71"/>
      <c r="K166" s="34" t="s">
        <v>66</v>
      </c>
      <c r="L166" s="78">
        <v>166</v>
      </c>
      <c r="M166" s="78"/>
      <c r="N166" s="73"/>
      <c r="O166" s="80" t="s">
        <v>211</v>
      </c>
      <c r="P166" s="80" t="s">
        <v>212</v>
      </c>
      <c r="Q166" s="80" t="s">
        <v>773</v>
      </c>
      <c r="R166" s="80" t="s">
        <v>537</v>
      </c>
      <c r="S166" s="80" t="s">
        <v>999</v>
      </c>
      <c r="T166" s="82" t="str">
        <f>HYPERLINK("http://www.youtube.com/channel/UCSxX7Vgyu9iThxPE1jSDFdw")</f>
        <v>http://www.youtube.com/channel/UCSxX7Vgyu9iThxPE1jSDFdw</v>
      </c>
      <c r="U166" s="80" t="s">
        <v>1134</v>
      </c>
      <c r="V166" s="80" t="s">
        <v>1209</v>
      </c>
      <c r="W166" s="82" t="str">
        <f>HYPERLINK("https://www.youtube.com/watch?v=C6vqy30PDnE")</f>
        <v>https://www.youtube.com/watch?v=C6vqy30PDnE</v>
      </c>
      <c r="X166" s="80" t="s">
        <v>213</v>
      </c>
      <c r="Y166" s="80">
        <v>0</v>
      </c>
      <c r="Z166" s="84">
        <v>44000.735243055555</v>
      </c>
      <c r="AA166" s="84">
        <v>44000.735243055555</v>
      </c>
      <c r="AB166" s="80"/>
      <c r="AC166" s="80"/>
      <c r="AD166" s="80"/>
      <c r="AE166" s="80">
        <v>1</v>
      </c>
      <c r="AF166" s="79" t="str">
        <f>REPLACE(INDEX(GroupVertices[Group],MATCH(Edges[[#This Row],[Vertex 1]],GroupVertices[Vertex],0)),1,1,"")</f>
        <v>4</v>
      </c>
      <c r="AG166" s="79" t="str">
        <f>REPLACE(INDEX(GroupVertices[Group],MATCH(Edges[[#This Row],[Vertex 2]],GroupVertices[Vertex],0)),1,1,"")</f>
        <v>4</v>
      </c>
      <c r="AH166" s="34"/>
      <c r="AI166" s="34"/>
      <c r="AJ166" s="34"/>
      <c r="AK166" s="34"/>
      <c r="AL166" s="34"/>
      <c r="AM166" s="34"/>
      <c r="AN166" s="34"/>
      <c r="AO166" s="34"/>
      <c r="AP166" s="34"/>
    </row>
    <row r="167" spans="1:42" ht="15">
      <c r="A167" s="65" t="s">
        <v>541</v>
      </c>
      <c r="B167" s="65" t="s">
        <v>537</v>
      </c>
      <c r="C167" s="66" t="s">
        <v>1853</v>
      </c>
      <c r="D167" s="67">
        <v>2</v>
      </c>
      <c r="E167" s="68"/>
      <c r="F167" s="69">
        <v>32</v>
      </c>
      <c r="G167" s="66"/>
      <c r="H167" s="70"/>
      <c r="I167" s="71"/>
      <c r="J167" s="71"/>
      <c r="K167" s="34" t="s">
        <v>66</v>
      </c>
      <c r="L167" s="78">
        <v>167</v>
      </c>
      <c r="M167" s="78"/>
      <c r="N167" s="73"/>
      <c r="O167" s="80" t="s">
        <v>210</v>
      </c>
      <c r="P167" s="80" t="s">
        <v>196</v>
      </c>
      <c r="Q167" s="80" t="s">
        <v>774</v>
      </c>
      <c r="R167" s="80" t="s">
        <v>541</v>
      </c>
      <c r="S167" s="80" t="s">
        <v>1003</v>
      </c>
      <c r="T167" s="82" t="str">
        <f>HYPERLINK("http://www.youtube.com/channel/UCowxcCH3G-tgO2fo0pPbKMw")</f>
        <v>http://www.youtube.com/channel/UCowxcCH3G-tgO2fo0pPbKMw</v>
      </c>
      <c r="U167" s="80"/>
      <c r="V167" s="80" t="s">
        <v>1209</v>
      </c>
      <c r="W167" s="82" t="str">
        <f>HYPERLINK("https://www.youtube.com/watch?v=C6vqy30PDnE")</f>
        <v>https://www.youtube.com/watch?v=C6vqy30PDnE</v>
      </c>
      <c r="X167" s="80" t="s">
        <v>213</v>
      </c>
      <c r="Y167" s="80">
        <v>2</v>
      </c>
      <c r="Z167" s="84">
        <v>44000.62564814815</v>
      </c>
      <c r="AA167" s="84">
        <v>44000.62564814815</v>
      </c>
      <c r="AB167" s="80"/>
      <c r="AC167" s="80"/>
      <c r="AD167" s="80"/>
      <c r="AE167" s="80">
        <v>1</v>
      </c>
      <c r="AF167" s="79" t="str">
        <f>REPLACE(INDEX(GroupVertices[Group],MATCH(Edges[[#This Row],[Vertex 1]],GroupVertices[Vertex],0)),1,1,"")</f>
        <v>4</v>
      </c>
      <c r="AG167" s="79" t="str">
        <f>REPLACE(INDEX(GroupVertices[Group],MATCH(Edges[[#This Row],[Vertex 2]],GroupVertices[Vertex],0)),1,1,"")</f>
        <v>4</v>
      </c>
      <c r="AH167" s="34"/>
      <c r="AI167" s="34"/>
      <c r="AJ167" s="34"/>
      <c r="AK167" s="34"/>
      <c r="AL167" s="34"/>
      <c r="AM167" s="34"/>
      <c r="AN167" s="34"/>
      <c r="AO167" s="34"/>
      <c r="AP167" s="34"/>
    </row>
    <row r="168" spans="1:42" ht="15">
      <c r="A168" s="65" t="s">
        <v>537</v>
      </c>
      <c r="B168" s="65" t="s">
        <v>542</v>
      </c>
      <c r="C168" s="66" t="s">
        <v>1853</v>
      </c>
      <c r="D168" s="67">
        <v>2</v>
      </c>
      <c r="E168" s="68"/>
      <c r="F168" s="69">
        <v>32</v>
      </c>
      <c r="G168" s="66"/>
      <c r="H168" s="70"/>
      <c r="I168" s="71"/>
      <c r="J168" s="71"/>
      <c r="K168" s="34" t="s">
        <v>66</v>
      </c>
      <c r="L168" s="78">
        <v>168</v>
      </c>
      <c r="M168" s="78"/>
      <c r="N168" s="73"/>
      <c r="O168" s="80" t="s">
        <v>211</v>
      </c>
      <c r="P168" s="80" t="s">
        <v>212</v>
      </c>
      <c r="Q168" s="80" t="s">
        <v>775</v>
      </c>
      <c r="R168" s="80" t="s">
        <v>537</v>
      </c>
      <c r="S168" s="80" t="s">
        <v>999</v>
      </c>
      <c r="T168" s="82" t="str">
        <f>HYPERLINK("http://www.youtube.com/channel/UCSxX7Vgyu9iThxPE1jSDFdw")</f>
        <v>http://www.youtube.com/channel/UCSxX7Vgyu9iThxPE1jSDFdw</v>
      </c>
      <c r="U168" s="80" t="s">
        <v>1135</v>
      </c>
      <c r="V168" s="80" t="s">
        <v>1209</v>
      </c>
      <c r="W168" s="82" t="str">
        <f>HYPERLINK("https://www.youtube.com/watch?v=C6vqy30PDnE")</f>
        <v>https://www.youtube.com/watch?v=C6vqy30PDnE</v>
      </c>
      <c r="X168" s="80" t="s">
        <v>213</v>
      </c>
      <c r="Y168" s="80">
        <v>0</v>
      </c>
      <c r="Z168" s="84">
        <v>44000.73541666667</v>
      </c>
      <c r="AA168" s="84">
        <v>44000.73541666667</v>
      </c>
      <c r="AB168" s="80"/>
      <c r="AC168" s="80"/>
      <c r="AD168" s="80"/>
      <c r="AE168" s="80">
        <v>1</v>
      </c>
      <c r="AF168" s="79" t="str">
        <f>REPLACE(INDEX(GroupVertices[Group],MATCH(Edges[[#This Row],[Vertex 1]],GroupVertices[Vertex],0)),1,1,"")</f>
        <v>4</v>
      </c>
      <c r="AG168" s="79" t="str">
        <f>REPLACE(INDEX(GroupVertices[Group],MATCH(Edges[[#This Row],[Vertex 2]],GroupVertices[Vertex],0)),1,1,"")</f>
        <v>4</v>
      </c>
      <c r="AH168" s="34"/>
      <c r="AI168" s="34"/>
      <c r="AJ168" s="34"/>
      <c r="AK168" s="34"/>
      <c r="AL168" s="34"/>
      <c r="AM168" s="34"/>
      <c r="AN168" s="34"/>
      <c r="AO168" s="34"/>
      <c r="AP168" s="34"/>
    </row>
    <row r="169" spans="1:42" ht="15">
      <c r="A169" s="65" t="s">
        <v>542</v>
      </c>
      <c r="B169" s="65" t="s">
        <v>542</v>
      </c>
      <c r="C169" s="66" t="s">
        <v>1853</v>
      </c>
      <c r="D169" s="67">
        <v>2</v>
      </c>
      <c r="E169" s="68"/>
      <c r="F169" s="69">
        <v>32</v>
      </c>
      <c r="G169" s="66"/>
      <c r="H169" s="70"/>
      <c r="I169" s="71"/>
      <c r="J169" s="71"/>
      <c r="K169" s="34" t="s">
        <v>65</v>
      </c>
      <c r="L169" s="78">
        <v>169</v>
      </c>
      <c r="M169" s="78"/>
      <c r="N169" s="73"/>
      <c r="O169" s="80" t="s">
        <v>211</v>
      </c>
      <c r="P169" s="80" t="s">
        <v>212</v>
      </c>
      <c r="Q169" s="80" t="s">
        <v>776</v>
      </c>
      <c r="R169" s="80" t="s">
        <v>542</v>
      </c>
      <c r="S169" s="80" t="s">
        <v>1004</v>
      </c>
      <c r="T169" s="82" t="str">
        <f>HYPERLINK("http://www.youtube.com/channel/UCYIZyVsh8xah1oFsr5_SBSA")</f>
        <v>http://www.youtube.com/channel/UCYIZyVsh8xah1oFsr5_SBSA</v>
      </c>
      <c r="U169" s="80" t="s">
        <v>1135</v>
      </c>
      <c r="V169" s="80" t="s">
        <v>1209</v>
      </c>
      <c r="W169" s="82" t="str">
        <f>HYPERLINK("https://www.youtube.com/watch?v=C6vqy30PDnE")</f>
        <v>https://www.youtube.com/watch?v=C6vqy30PDnE</v>
      </c>
      <c r="X169" s="80" t="s">
        <v>213</v>
      </c>
      <c r="Y169" s="80">
        <v>0</v>
      </c>
      <c r="Z169" s="84">
        <v>44000.77240740741</v>
      </c>
      <c r="AA169" s="84">
        <v>44000.77240740741</v>
      </c>
      <c r="AB169" s="80"/>
      <c r="AC169" s="80"/>
      <c r="AD169" s="80"/>
      <c r="AE169" s="80">
        <v>1</v>
      </c>
      <c r="AF169" s="79" t="str">
        <f>REPLACE(INDEX(GroupVertices[Group],MATCH(Edges[[#This Row],[Vertex 1]],GroupVertices[Vertex],0)),1,1,"")</f>
        <v>4</v>
      </c>
      <c r="AG169" s="79" t="str">
        <f>REPLACE(INDEX(GroupVertices[Group],MATCH(Edges[[#This Row],[Vertex 2]],GroupVertices[Vertex],0)),1,1,"")</f>
        <v>4</v>
      </c>
      <c r="AH169" s="34"/>
      <c r="AI169" s="34"/>
      <c r="AJ169" s="34"/>
      <c r="AK169" s="34"/>
      <c r="AL169" s="34"/>
      <c r="AM169" s="34"/>
      <c r="AN169" s="34"/>
      <c r="AO169" s="34"/>
      <c r="AP169" s="34"/>
    </row>
    <row r="170" spans="1:42" ht="15">
      <c r="A170" s="65" t="s">
        <v>542</v>
      </c>
      <c r="B170" s="65" t="s">
        <v>537</v>
      </c>
      <c r="C170" s="66" t="s">
        <v>1853</v>
      </c>
      <c r="D170" s="67">
        <v>2</v>
      </c>
      <c r="E170" s="68"/>
      <c r="F170" s="69">
        <v>32</v>
      </c>
      <c r="G170" s="66"/>
      <c r="H170" s="70"/>
      <c r="I170" s="71"/>
      <c r="J170" s="71"/>
      <c r="K170" s="34" t="s">
        <v>66</v>
      </c>
      <c r="L170" s="78">
        <v>170</v>
      </c>
      <c r="M170" s="78"/>
      <c r="N170" s="73"/>
      <c r="O170" s="80" t="s">
        <v>210</v>
      </c>
      <c r="P170" s="80" t="s">
        <v>196</v>
      </c>
      <c r="Q170" s="80" t="s">
        <v>777</v>
      </c>
      <c r="R170" s="80" t="s">
        <v>542</v>
      </c>
      <c r="S170" s="80" t="s">
        <v>1004</v>
      </c>
      <c r="T170" s="82" t="str">
        <f>HYPERLINK("http://www.youtube.com/channel/UCYIZyVsh8xah1oFsr5_SBSA")</f>
        <v>http://www.youtube.com/channel/UCYIZyVsh8xah1oFsr5_SBSA</v>
      </c>
      <c r="U170" s="80"/>
      <c r="V170" s="80" t="s">
        <v>1209</v>
      </c>
      <c r="W170" s="82" t="str">
        <f>HYPERLINK("https://www.youtube.com/watch?v=C6vqy30PDnE")</f>
        <v>https://www.youtube.com/watch?v=C6vqy30PDnE</v>
      </c>
      <c r="X170" s="80" t="s">
        <v>213</v>
      </c>
      <c r="Y170" s="80">
        <v>1</v>
      </c>
      <c r="Z170" s="84">
        <v>44000.67686342593</v>
      </c>
      <c r="AA170" s="84">
        <v>44000.67686342593</v>
      </c>
      <c r="AB170" s="80"/>
      <c r="AC170" s="80"/>
      <c r="AD170" s="80"/>
      <c r="AE170" s="80">
        <v>1</v>
      </c>
      <c r="AF170" s="79" t="str">
        <f>REPLACE(INDEX(GroupVertices[Group],MATCH(Edges[[#This Row],[Vertex 1]],GroupVertices[Vertex],0)),1,1,"")</f>
        <v>4</v>
      </c>
      <c r="AG170" s="79" t="str">
        <f>REPLACE(INDEX(GroupVertices[Group],MATCH(Edges[[#This Row],[Vertex 2]],GroupVertices[Vertex],0)),1,1,"")</f>
        <v>4</v>
      </c>
      <c r="AH170" s="34"/>
      <c r="AI170" s="34"/>
      <c r="AJ170" s="34"/>
      <c r="AK170" s="34"/>
      <c r="AL170" s="34"/>
      <c r="AM170" s="34"/>
      <c r="AN170" s="34"/>
      <c r="AO170" s="34"/>
      <c r="AP170" s="34"/>
    </row>
    <row r="171" spans="1:42" ht="15">
      <c r="A171" s="65" t="s">
        <v>537</v>
      </c>
      <c r="B171" s="65" t="s">
        <v>543</v>
      </c>
      <c r="C171" s="66" t="s">
        <v>1853</v>
      </c>
      <c r="D171" s="67">
        <v>2</v>
      </c>
      <c r="E171" s="68"/>
      <c r="F171" s="69">
        <v>32</v>
      </c>
      <c r="G171" s="66"/>
      <c r="H171" s="70"/>
      <c r="I171" s="71"/>
      <c r="J171" s="71"/>
      <c r="K171" s="34" t="s">
        <v>66</v>
      </c>
      <c r="L171" s="78">
        <v>171</v>
      </c>
      <c r="M171" s="78"/>
      <c r="N171" s="73"/>
      <c r="O171" s="80" t="s">
        <v>211</v>
      </c>
      <c r="P171" s="80" t="s">
        <v>212</v>
      </c>
      <c r="Q171" s="80" t="s">
        <v>778</v>
      </c>
      <c r="R171" s="80" t="s">
        <v>537</v>
      </c>
      <c r="S171" s="80" t="s">
        <v>999</v>
      </c>
      <c r="T171" s="82" t="str">
        <f>HYPERLINK("http://www.youtube.com/channel/UCSxX7Vgyu9iThxPE1jSDFdw")</f>
        <v>http://www.youtube.com/channel/UCSxX7Vgyu9iThxPE1jSDFdw</v>
      </c>
      <c r="U171" s="80" t="s">
        <v>1136</v>
      </c>
      <c r="V171" s="80" t="s">
        <v>1209</v>
      </c>
      <c r="W171" s="82" t="str">
        <f>HYPERLINK("https://www.youtube.com/watch?v=C6vqy30PDnE")</f>
        <v>https://www.youtube.com/watch?v=C6vqy30PDnE</v>
      </c>
      <c r="X171" s="80" t="s">
        <v>213</v>
      </c>
      <c r="Y171" s="80">
        <v>1</v>
      </c>
      <c r="Z171" s="84">
        <v>44000.7409375</v>
      </c>
      <c r="AA171" s="84">
        <v>44000.7409375</v>
      </c>
      <c r="AB171" s="80"/>
      <c r="AC171" s="80"/>
      <c r="AD171" s="80"/>
      <c r="AE171" s="80">
        <v>1</v>
      </c>
      <c r="AF171" s="79" t="str">
        <f>REPLACE(INDEX(GroupVertices[Group],MATCH(Edges[[#This Row],[Vertex 1]],GroupVertices[Vertex],0)),1,1,"")</f>
        <v>4</v>
      </c>
      <c r="AG171" s="79" t="str">
        <f>REPLACE(INDEX(GroupVertices[Group],MATCH(Edges[[#This Row],[Vertex 2]],GroupVertices[Vertex],0)),1,1,"")</f>
        <v>4</v>
      </c>
      <c r="AH171" s="34"/>
      <c r="AI171" s="34"/>
      <c r="AJ171" s="34"/>
      <c r="AK171" s="34"/>
      <c r="AL171" s="34"/>
      <c r="AM171" s="34"/>
      <c r="AN171" s="34"/>
      <c r="AO171" s="34"/>
      <c r="AP171" s="34"/>
    </row>
    <row r="172" spans="1:42" ht="15">
      <c r="A172" s="65" t="s">
        <v>543</v>
      </c>
      <c r="B172" s="65" t="s">
        <v>537</v>
      </c>
      <c r="C172" s="66" t="s">
        <v>1853</v>
      </c>
      <c r="D172" s="67">
        <v>2</v>
      </c>
      <c r="E172" s="68"/>
      <c r="F172" s="69">
        <v>32</v>
      </c>
      <c r="G172" s="66"/>
      <c r="H172" s="70"/>
      <c r="I172" s="71"/>
      <c r="J172" s="71"/>
      <c r="K172" s="34" t="s">
        <v>66</v>
      </c>
      <c r="L172" s="78">
        <v>172</v>
      </c>
      <c r="M172" s="78"/>
      <c r="N172" s="73"/>
      <c r="O172" s="80" t="s">
        <v>210</v>
      </c>
      <c r="P172" s="80" t="s">
        <v>196</v>
      </c>
      <c r="Q172" s="80" t="s">
        <v>779</v>
      </c>
      <c r="R172" s="80" t="s">
        <v>543</v>
      </c>
      <c r="S172" s="80" t="s">
        <v>1005</v>
      </c>
      <c r="T172" s="82" t="str">
        <f>HYPERLINK("http://www.youtube.com/channel/UCdbbW2_4oxgjMOmJDAuTVCQ")</f>
        <v>http://www.youtube.com/channel/UCdbbW2_4oxgjMOmJDAuTVCQ</v>
      </c>
      <c r="U172" s="80"/>
      <c r="V172" s="80" t="s">
        <v>1209</v>
      </c>
      <c r="W172" s="82" t="str">
        <f>HYPERLINK("https://www.youtube.com/watch?v=C6vqy30PDnE")</f>
        <v>https://www.youtube.com/watch?v=C6vqy30PDnE</v>
      </c>
      <c r="X172" s="80" t="s">
        <v>213</v>
      </c>
      <c r="Y172" s="80">
        <v>1</v>
      </c>
      <c r="Z172" s="84">
        <v>44000.71701388889</v>
      </c>
      <c r="AA172" s="84">
        <v>44000.71701388889</v>
      </c>
      <c r="AB172" s="80"/>
      <c r="AC172" s="80"/>
      <c r="AD172" s="80"/>
      <c r="AE172" s="80">
        <v>1</v>
      </c>
      <c r="AF172" s="79" t="str">
        <f>REPLACE(INDEX(GroupVertices[Group],MATCH(Edges[[#This Row],[Vertex 1]],GroupVertices[Vertex],0)),1,1,"")</f>
        <v>4</v>
      </c>
      <c r="AG172" s="79" t="str">
        <f>REPLACE(INDEX(GroupVertices[Group],MATCH(Edges[[#This Row],[Vertex 2]],GroupVertices[Vertex],0)),1,1,"")</f>
        <v>4</v>
      </c>
      <c r="AH172" s="34"/>
      <c r="AI172" s="34"/>
      <c r="AJ172" s="34"/>
      <c r="AK172" s="34"/>
      <c r="AL172" s="34"/>
      <c r="AM172" s="34"/>
      <c r="AN172" s="34"/>
      <c r="AO172" s="34"/>
      <c r="AP172" s="34"/>
    </row>
    <row r="173" spans="1:42" ht="15">
      <c r="A173" s="65" t="s">
        <v>537</v>
      </c>
      <c r="B173" s="65" t="s">
        <v>544</v>
      </c>
      <c r="C173" s="66" t="s">
        <v>1853</v>
      </c>
      <c r="D173" s="67">
        <v>2</v>
      </c>
      <c r="E173" s="68"/>
      <c r="F173" s="69">
        <v>32</v>
      </c>
      <c r="G173" s="66"/>
      <c r="H173" s="70"/>
      <c r="I173" s="71"/>
      <c r="J173" s="71"/>
      <c r="K173" s="34" t="s">
        <v>66</v>
      </c>
      <c r="L173" s="78">
        <v>173</v>
      </c>
      <c r="M173" s="78"/>
      <c r="N173" s="73"/>
      <c r="O173" s="80" t="s">
        <v>211</v>
      </c>
      <c r="P173" s="80" t="s">
        <v>212</v>
      </c>
      <c r="Q173" s="80" t="s">
        <v>780</v>
      </c>
      <c r="R173" s="80" t="s">
        <v>537</v>
      </c>
      <c r="S173" s="80" t="s">
        <v>999</v>
      </c>
      <c r="T173" s="82" t="str">
        <f>HYPERLINK("http://www.youtube.com/channel/UCSxX7Vgyu9iThxPE1jSDFdw")</f>
        <v>http://www.youtube.com/channel/UCSxX7Vgyu9iThxPE1jSDFdw</v>
      </c>
      <c r="U173" s="80" t="s">
        <v>1137</v>
      </c>
      <c r="V173" s="80" t="s">
        <v>1209</v>
      </c>
      <c r="W173" s="82" t="str">
        <f>HYPERLINK("https://www.youtube.com/watch?v=C6vqy30PDnE")</f>
        <v>https://www.youtube.com/watch?v=C6vqy30PDnE</v>
      </c>
      <c r="X173" s="80" t="s">
        <v>213</v>
      </c>
      <c r="Y173" s="80">
        <v>0</v>
      </c>
      <c r="Z173" s="84">
        <v>44000.74134259259</v>
      </c>
      <c r="AA173" s="84">
        <v>44000.74134259259</v>
      </c>
      <c r="AB173" s="80"/>
      <c r="AC173" s="80"/>
      <c r="AD173" s="80"/>
      <c r="AE173" s="80">
        <v>1</v>
      </c>
      <c r="AF173" s="79" t="str">
        <f>REPLACE(INDEX(GroupVertices[Group],MATCH(Edges[[#This Row],[Vertex 1]],GroupVertices[Vertex],0)),1,1,"")</f>
        <v>4</v>
      </c>
      <c r="AG173" s="79" t="str">
        <f>REPLACE(INDEX(GroupVertices[Group],MATCH(Edges[[#This Row],[Vertex 2]],GroupVertices[Vertex],0)),1,1,"")</f>
        <v>4</v>
      </c>
      <c r="AH173" s="34"/>
      <c r="AI173" s="34"/>
      <c r="AJ173" s="34"/>
      <c r="AK173" s="34"/>
      <c r="AL173" s="34"/>
      <c r="AM173" s="34"/>
      <c r="AN173" s="34"/>
      <c r="AO173" s="34"/>
      <c r="AP173" s="34"/>
    </row>
    <row r="174" spans="1:42" ht="15">
      <c r="A174" s="65" t="s">
        <v>544</v>
      </c>
      <c r="B174" s="65" t="s">
        <v>537</v>
      </c>
      <c r="C174" s="66" t="s">
        <v>1853</v>
      </c>
      <c r="D174" s="67">
        <v>2</v>
      </c>
      <c r="E174" s="68"/>
      <c r="F174" s="69">
        <v>32</v>
      </c>
      <c r="G174" s="66"/>
      <c r="H174" s="70"/>
      <c r="I174" s="71"/>
      <c r="J174" s="71"/>
      <c r="K174" s="34" t="s">
        <v>66</v>
      </c>
      <c r="L174" s="78">
        <v>174</v>
      </c>
      <c r="M174" s="78"/>
      <c r="N174" s="73"/>
      <c r="O174" s="80" t="s">
        <v>210</v>
      </c>
      <c r="P174" s="80" t="s">
        <v>196</v>
      </c>
      <c r="Q174" s="80" t="s">
        <v>781</v>
      </c>
      <c r="R174" s="80" t="s">
        <v>544</v>
      </c>
      <c r="S174" s="80" t="s">
        <v>1006</v>
      </c>
      <c r="T174" s="82" t="str">
        <f>HYPERLINK("http://www.youtube.com/channel/UC3gwIQsVzQujAu5GWa6kKCQ")</f>
        <v>http://www.youtube.com/channel/UC3gwIQsVzQujAu5GWa6kKCQ</v>
      </c>
      <c r="U174" s="80"/>
      <c r="V174" s="80" t="s">
        <v>1209</v>
      </c>
      <c r="W174" s="82" t="str">
        <f>HYPERLINK("https://www.youtube.com/watch?v=C6vqy30PDnE")</f>
        <v>https://www.youtube.com/watch?v=C6vqy30PDnE</v>
      </c>
      <c r="X174" s="80" t="s">
        <v>213</v>
      </c>
      <c r="Y174" s="80">
        <v>2</v>
      </c>
      <c r="Z174" s="84">
        <v>44000.73099537037</v>
      </c>
      <c r="AA174" s="84">
        <v>44000.73099537037</v>
      </c>
      <c r="AB174" s="80"/>
      <c r="AC174" s="80"/>
      <c r="AD174" s="80"/>
      <c r="AE174" s="80">
        <v>1</v>
      </c>
      <c r="AF174" s="79" t="str">
        <f>REPLACE(INDEX(GroupVertices[Group],MATCH(Edges[[#This Row],[Vertex 1]],GroupVertices[Vertex],0)),1,1,"")</f>
        <v>4</v>
      </c>
      <c r="AG174" s="79" t="str">
        <f>REPLACE(INDEX(GroupVertices[Group],MATCH(Edges[[#This Row],[Vertex 2]],GroupVertices[Vertex],0)),1,1,"")</f>
        <v>4</v>
      </c>
      <c r="AH174" s="34"/>
      <c r="AI174" s="34"/>
      <c r="AJ174" s="34"/>
      <c r="AK174" s="34"/>
      <c r="AL174" s="34"/>
      <c r="AM174" s="34"/>
      <c r="AN174" s="34"/>
      <c r="AO174" s="34"/>
      <c r="AP174" s="34"/>
    </row>
    <row r="175" spans="1:42" ht="15">
      <c r="A175" s="65" t="s">
        <v>545</v>
      </c>
      <c r="B175" s="65" t="s">
        <v>546</v>
      </c>
      <c r="C175" s="66" t="s">
        <v>1853</v>
      </c>
      <c r="D175" s="67">
        <v>2</v>
      </c>
      <c r="E175" s="68"/>
      <c r="F175" s="69">
        <v>32</v>
      </c>
      <c r="G175" s="66"/>
      <c r="H175" s="70"/>
      <c r="I175" s="71"/>
      <c r="J175" s="71"/>
      <c r="K175" s="34" t="s">
        <v>66</v>
      </c>
      <c r="L175" s="78">
        <v>175</v>
      </c>
      <c r="M175" s="78"/>
      <c r="N175" s="73"/>
      <c r="O175" s="80" t="s">
        <v>211</v>
      </c>
      <c r="P175" s="80" t="s">
        <v>212</v>
      </c>
      <c r="Q175" s="80" t="s">
        <v>782</v>
      </c>
      <c r="R175" s="80" t="s">
        <v>545</v>
      </c>
      <c r="S175" s="80" t="s">
        <v>1007</v>
      </c>
      <c r="T175" s="82" t="str">
        <f>HYPERLINK("http://www.youtube.com/channel/UCyi-IKqccpG5QQHqzwzLx_g")</f>
        <v>http://www.youtube.com/channel/UCyi-IKqccpG5QQHqzwzLx_g</v>
      </c>
      <c r="U175" s="80" t="s">
        <v>1138</v>
      </c>
      <c r="V175" s="80" t="s">
        <v>1210</v>
      </c>
      <c r="W175" s="82" t="str">
        <f>HYPERLINK("https://www.youtube.com/watch?v=lyHqb2T7XAI")</f>
        <v>https://www.youtube.com/watch?v=lyHqb2T7XAI</v>
      </c>
      <c r="X175" s="80" t="s">
        <v>213</v>
      </c>
      <c r="Y175" s="80">
        <v>0</v>
      </c>
      <c r="Z175" s="84">
        <v>44000.84818287037</v>
      </c>
      <c r="AA175" s="84">
        <v>44000.84818287037</v>
      </c>
      <c r="AB175" s="80"/>
      <c r="AC175" s="80"/>
      <c r="AD175" s="80"/>
      <c r="AE175" s="80">
        <v>1</v>
      </c>
      <c r="AF175" s="79" t="str">
        <f>REPLACE(INDEX(GroupVertices[Group],MATCH(Edges[[#This Row],[Vertex 1]],GroupVertices[Vertex],0)),1,1,"")</f>
        <v>15</v>
      </c>
      <c r="AG175" s="79" t="str">
        <f>REPLACE(INDEX(GroupVertices[Group],MATCH(Edges[[#This Row],[Vertex 2]],GroupVertices[Vertex],0)),1,1,"")</f>
        <v>15</v>
      </c>
      <c r="AH175" s="34"/>
      <c r="AI175" s="34"/>
      <c r="AJ175" s="34"/>
      <c r="AK175" s="34"/>
      <c r="AL175" s="34"/>
      <c r="AM175" s="34"/>
      <c r="AN175" s="34"/>
      <c r="AO175" s="34"/>
      <c r="AP175" s="34"/>
    </row>
    <row r="176" spans="1:42" ht="15">
      <c r="A176" s="65" t="s">
        <v>546</v>
      </c>
      <c r="B176" s="65" t="s">
        <v>545</v>
      </c>
      <c r="C176" s="66" t="s">
        <v>1853</v>
      </c>
      <c r="D176" s="67">
        <v>2</v>
      </c>
      <c r="E176" s="68"/>
      <c r="F176" s="69">
        <v>32</v>
      </c>
      <c r="G176" s="66"/>
      <c r="H176" s="70"/>
      <c r="I176" s="71"/>
      <c r="J176" s="71"/>
      <c r="K176" s="34" t="s">
        <v>66</v>
      </c>
      <c r="L176" s="78">
        <v>176</v>
      </c>
      <c r="M176" s="78"/>
      <c r="N176" s="73"/>
      <c r="O176" s="80" t="s">
        <v>210</v>
      </c>
      <c r="P176" s="80" t="s">
        <v>196</v>
      </c>
      <c r="Q176" s="80" t="s">
        <v>783</v>
      </c>
      <c r="R176" s="80" t="s">
        <v>546</v>
      </c>
      <c r="S176" s="80" t="s">
        <v>1008</v>
      </c>
      <c r="T176" s="82" t="str">
        <f>HYPERLINK("http://www.youtube.com/channel/UCJWk4GGtM3R93hv9zsSaExw")</f>
        <v>http://www.youtube.com/channel/UCJWk4GGtM3R93hv9zsSaExw</v>
      </c>
      <c r="U176" s="80"/>
      <c r="V176" s="80" t="s">
        <v>1210</v>
      </c>
      <c r="W176" s="82" t="str">
        <f>HYPERLINK("https://www.youtube.com/watch?v=lyHqb2T7XAI")</f>
        <v>https://www.youtube.com/watch?v=lyHqb2T7XAI</v>
      </c>
      <c r="X176" s="80" t="s">
        <v>213</v>
      </c>
      <c r="Y176" s="80">
        <v>0</v>
      </c>
      <c r="Z176" s="84">
        <v>44000.71502314815</v>
      </c>
      <c r="AA176" s="84">
        <v>44000.71502314815</v>
      </c>
      <c r="AB176" s="80"/>
      <c r="AC176" s="80"/>
      <c r="AD176" s="80"/>
      <c r="AE176" s="80">
        <v>1</v>
      </c>
      <c r="AF176" s="79" t="str">
        <f>REPLACE(INDEX(GroupVertices[Group],MATCH(Edges[[#This Row],[Vertex 1]],GroupVertices[Vertex],0)),1,1,"")</f>
        <v>15</v>
      </c>
      <c r="AG176" s="79" t="str">
        <f>REPLACE(INDEX(GroupVertices[Group],MATCH(Edges[[#This Row],[Vertex 2]],GroupVertices[Vertex],0)),1,1,"")</f>
        <v>15</v>
      </c>
      <c r="AH176" s="34"/>
      <c r="AI176" s="34"/>
      <c r="AJ176" s="34"/>
      <c r="AK176" s="34"/>
      <c r="AL176" s="34"/>
      <c r="AM176" s="34"/>
      <c r="AN176" s="34"/>
      <c r="AO176" s="34"/>
      <c r="AP176" s="34"/>
    </row>
    <row r="177" spans="1:42" ht="15">
      <c r="A177" s="65" t="s">
        <v>545</v>
      </c>
      <c r="B177" s="65" t="s">
        <v>547</v>
      </c>
      <c r="C177" s="66" t="s">
        <v>1853</v>
      </c>
      <c r="D177" s="67">
        <v>2</v>
      </c>
      <c r="E177" s="68"/>
      <c r="F177" s="69">
        <v>32</v>
      </c>
      <c r="G177" s="66"/>
      <c r="H177" s="70"/>
      <c r="I177" s="71"/>
      <c r="J177" s="71"/>
      <c r="K177" s="34" t="s">
        <v>66</v>
      </c>
      <c r="L177" s="78">
        <v>177</v>
      </c>
      <c r="M177" s="78"/>
      <c r="N177" s="73"/>
      <c r="O177" s="80" t="s">
        <v>211</v>
      </c>
      <c r="P177" s="80" t="s">
        <v>212</v>
      </c>
      <c r="Q177" s="80" t="s">
        <v>784</v>
      </c>
      <c r="R177" s="80" t="s">
        <v>545</v>
      </c>
      <c r="S177" s="80" t="s">
        <v>1007</v>
      </c>
      <c r="T177" s="82" t="str">
        <f>HYPERLINK("http://www.youtube.com/channel/UCyi-IKqccpG5QQHqzwzLx_g")</f>
        <v>http://www.youtube.com/channel/UCyi-IKqccpG5QQHqzwzLx_g</v>
      </c>
      <c r="U177" s="80" t="s">
        <v>1139</v>
      </c>
      <c r="V177" s="80" t="s">
        <v>1210</v>
      </c>
      <c r="W177" s="82" t="str">
        <f>HYPERLINK("https://www.youtube.com/watch?v=lyHqb2T7XAI")</f>
        <v>https://www.youtube.com/watch?v=lyHqb2T7XAI</v>
      </c>
      <c r="X177" s="80" t="s">
        <v>213</v>
      </c>
      <c r="Y177" s="80">
        <v>1</v>
      </c>
      <c r="Z177" s="84">
        <v>44000.84804398148</v>
      </c>
      <c r="AA177" s="84">
        <v>44000.84804398148</v>
      </c>
      <c r="AB177" s="80"/>
      <c r="AC177" s="80"/>
      <c r="AD177" s="80"/>
      <c r="AE177" s="80">
        <v>1</v>
      </c>
      <c r="AF177" s="79" t="str">
        <f>REPLACE(INDEX(GroupVertices[Group],MATCH(Edges[[#This Row],[Vertex 1]],GroupVertices[Vertex],0)),1,1,"")</f>
        <v>15</v>
      </c>
      <c r="AG177" s="79" t="str">
        <f>REPLACE(INDEX(GroupVertices[Group],MATCH(Edges[[#This Row],[Vertex 2]],GroupVertices[Vertex],0)),1,1,"")</f>
        <v>15</v>
      </c>
      <c r="AH177" s="34"/>
      <c r="AI177" s="34"/>
      <c r="AJ177" s="34"/>
      <c r="AK177" s="34"/>
      <c r="AL177" s="34"/>
      <c r="AM177" s="34"/>
      <c r="AN177" s="34"/>
      <c r="AO177" s="34"/>
      <c r="AP177" s="34"/>
    </row>
    <row r="178" spans="1:42" ht="15">
      <c r="A178" s="65" t="s">
        <v>547</v>
      </c>
      <c r="B178" s="65" t="s">
        <v>545</v>
      </c>
      <c r="C178" s="66" t="s">
        <v>1853</v>
      </c>
      <c r="D178" s="67">
        <v>2</v>
      </c>
      <c r="E178" s="68"/>
      <c r="F178" s="69">
        <v>32</v>
      </c>
      <c r="G178" s="66"/>
      <c r="H178" s="70"/>
      <c r="I178" s="71"/>
      <c r="J178" s="71"/>
      <c r="K178" s="34" t="s">
        <v>66</v>
      </c>
      <c r="L178" s="78">
        <v>178</v>
      </c>
      <c r="M178" s="78"/>
      <c r="N178" s="73"/>
      <c r="O178" s="80" t="s">
        <v>210</v>
      </c>
      <c r="P178" s="80" t="s">
        <v>196</v>
      </c>
      <c r="Q178" s="80" t="s">
        <v>785</v>
      </c>
      <c r="R178" s="80" t="s">
        <v>547</v>
      </c>
      <c r="S178" s="80" t="s">
        <v>1009</v>
      </c>
      <c r="T178" s="82" t="str">
        <f>HYPERLINK("http://www.youtube.com/channel/UCulwrFxBkHWdl7jBH9tCD8w")</f>
        <v>http://www.youtube.com/channel/UCulwrFxBkHWdl7jBH9tCD8w</v>
      </c>
      <c r="U178" s="80"/>
      <c r="V178" s="80" t="s">
        <v>1210</v>
      </c>
      <c r="W178" s="82" t="str">
        <f>HYPERLINK("https://www.youtube.com/watch?v=lyHqb2T7XAI")</f>
        <v>https://www.youtube.com/watch?v=lyHqb2T7XAI</v>
      </c>
      <c r="X178" s="80" t="s">
        <v>213</v>
      </c>
      <c r="Y178" s="80">
        <v>0</v>
      </c>
      <c r="Z178" s="84">
        <v>44000.83277777778</v>
      </c>
      <c r="AA178" s="84">
        <v>44000.83277777778</v>
      </c>
      <c r="AB178" s="80"/>
      <c r="AC178" s="80"/>
      <c r="AD178" s="80"/>
      <c r="AE178" s="80">
        <v>1</v>
      </c>
      <c r="AF178" s="79" t="str">
        <f>REPLACE(INDEX(GroupVertices[Group],MATCH(Edges[[#This Row],[Vertex 1]],GroupVertices[Vertex],0)),1,1,"")</f>
        <v>15</v>
      </c>
      <c r="AG178" s="79" t="str">
        <f>REPLACE(INDEX(GroupVertices[Group],MATCH(Edges[[#This Row],[Vertex 2]],GroupVertices[Vertex],0)),1,1,"")</f>
        <v>15</v>
      </c>
      <c r="AH178" s="34"/>
      <c r="AI178" s="34"/>
      <c r="AJ178" s="34"/>
      <c r="AK178" s="34"/>
      <c r="AL178" s="34"/>
      <c r="AM178" s="34"/>
      <c r="AN178" s="34"/>
      <c r="AO178" s="34"/>
      <c r="AP178" s="34"/>
    </row>
    <row r="179" spans="1:42" ht="15">
      <c r="A179" s="65" t="s">
        <v>545</v>
      </c>
      <c r="B179" s="65" t="s">
        <v>548</v>
      </c>
      <c r="C179" s="66" t="s">
        <v>1853</v>
      </c>
      <c r="D179" s="67">
        <v>2</v>
      </c>
      <c r="E179" s="68"/>
      <c r="F179" s="69">
        <v>32</v>
      </c>
      <c r="G179" s="66"/>
      <c r="H179" s="70"/>
      <c r="I179" s="71"/>
      <c r="J179" s="71"/>
      <c r="K179" s="34" t="s">
        <v>66</v>
      </c>
      <c r="L179" s="78">
        <v>179</v>
      </c>
      <c r="M179" s="78"/>
      <c r="N179" s="73"/>
      <c r="O179" s="80" t="s">
        <v>211</v>
      </c>
      <c r="P179" s="80" t="s">
        <v>212</v>
      </c>
      <c r="Q179" s="80" t="s">
        <v>786</v>
      </c>
      <c r="R179" s="80" t="s">
        <v>545</v>
      </c>
      <c r="S179" s="80" t="s">
        <v>1007</v>
      </c>
      <c r="T179" s="82" t="str">
        <f>HYPERLINK("http://www.youtube.com/channel/UCyi-IKqccpG5QQHqzwzLx_g")</f>
        <v>http://www.youtube.com/channel/UCyi-IKqccpG5QQHqzwzLx_g</v>
      </c>
      <c r="U179" s="80" t="s">
        <v>1140</v>
      </c>
      <c r="V179" s="80" t="s">
        <v>1210</v>
      </c>
      <c r="W179" s="82" t="str">
        <f>HYPERLINK("https://www.youtube.com/watch?v=lyHqb2T7XAI")</f>
        <v>https://www.youtube.com/watch?v=lyHqb2T7XAI</v>
      </c>
      <c r="X179" s="80" t="s">
        <v>213</v>
      </c>
      <c r="Y179" s="80">
        <v>1</v>
      </c>
      <c r="Z179" s="84">
        <v>44001.05737268519</v>
      </c>
      <c r="AA179" s="84">
        <v>44001.05737268519</v>
      </c>
      <c r="AB179" s="80"/>
      <c r="AC179" s="80"/>
      <c r="AD179" s="80"/>
      <c r="AE179" s="80">
        <v>1</v>
      </c>
      <c r="AF179" s="79" t="str">
        <f>REPLACE(INDEX(GroupVertices[Group],MATCH(Edges[[#This Row],[Vertex 1]],GroupVertices[Vertex],0)),1,1,"")</f>
        <v>15</v>
      </c>
      <c r="AG179" s="79" t="str">
        <f>REPLACE(INDEX(GroupVertices[Group],MATCH(Edges[[#This Row],[Vertex 2]],GroupVertices[Vertex],0)),1,1,"")</f>
        <v>15</v>
      </c>
      <c r="AH179" s="34"/>
      <c r="AI179" s="34"/>
      <c r="AJ179" s="34"/>
      <c r="AK179" s="34"/>
      <c r="AL179" s="34"/>
      <c r="AM179" s="34"/>
      <c r="AN179" s="34"/>
      <c r="AO179" s="34"/>
      <c r="AP179" s="34"/>
    </row>
    <row r="180" spans="1:42" ht="15">
      <c r="A180" s="65" t="s">
        <v>548</v>
      </c>
      <c r="B180" s="65" t="s">
        <v>545</v>
      </c>
      <c r="C180" s="66" t="s">
        <v>1853</v>
      </c>
      <c r="D180" s="67">
        <v>2</v>
      </c>
      <c r="E180" s="68"/>
      <c r="F180" s="69">
        <v>32</v>
      </c>
      <c r="G180" s="66"/>
      <c r="H180" s="70"/>
      <c r="I180" s="71"/>
      <c r="J180" s="71"/>
      <c r="K180" s="34" t="s">
        <v>66</v>
      </c>
      <c r="L180" s="78">
        <v>180</v>
      </c>
      <c r="M180" s="78"/>
      <c r="N180" s="73"/>
      <c r="O180" s="80" t="s">
        <v>210</v>
      </c>
      <c r="P180" s="80" t="s">
        <v>196</v>
      </c>
      <c r="Q180" s="80" t="s">
        <v>787</v>
      </c>
      <c r="R180" s="80" t="s">
        <v>548</v>
      </c>
      <c r="S180" s="80" t="s">
        <v>1010</v>
      </c>
      <c r="T180" s="82" t="str">
        <f>HYPERLINK("http://www.youtube.com/channel/UC_dba-iHCMtq_7-Pk6zscoQ")</f>
        <v>http://www.youtube.com/channel/UC_dba-iHCMtq_7-Pk6zscoQ</v>
      </c>
      <c r="U180" s="80"/>
      <c r="V180" s="80" t="s">
        <v>1210</v>
      </c>
      <c r="W180" s="82" t="str">
        <f>HYPERLINK("https://www.youtube.com/watch?v=lyHqb2T7XAI")</f>
        <v>https://www.youtube.com/watch?v=lyHqb2T7XAI</v>
      </c>
      <c r="X180" s="80" t="s">
        <v>213</v>
      </c>
      <c r="Y180" s="80">
        <v>0</v>
      </c>
      <c r="Z180" s="84">
        <v>44000.98292824074</v>
      </c>
      <c r="AA180" s="84">
        <v>44000.98292824074</v>
      </c>
      <c r="AB180" s="80"/>
      <c r="AC180" s="80"/>
      <c r="AD180" s="80"/>
      <c r="AE180" s="80">
        <v>1</v>
      </c>
      <c r="AF180" s="79" t="str">
        <f>REPLACE(INDEX(GroupVertices[Group],MATCH(Edges[[#This Row],[Vertex 1]],GroupVertices[Vertex],0)),1,1,"")</f>
        <v>15</v>
      </c>
      <c r="AG180" s="79" t="str">
        <f>REPLACE(INDEX(GroupVertices[Group],MATCH(Edges[[#This Row],[Vertex 2]],GroupVertices[Vertex],0)),1,1,"")</f>
        <v>15</v>
      </c>
      <c r="AH180" s="34"/>
      <c r="AI180" s="34"/>
      <c r="AJ180" s="34"/>
      <c r="AK180" s="34"/>
      <c r="AL180" s="34"/>
      <c r="AM180" s="34"/>
      <c r="AN180" s="34"/>
      <c r="AO180" s="34"/>
      <c r="AP180" s="34"/>
    </row>
    <row r="181" spans="1:42" ht="15">
      <c r="A181" s="65" t="s">
        <v>549</v>
      </c>
      <c r="B181" s="65" t="s">
        <v>550</v>
      </c>
      <c r="C181" s="66" t="s">
        <v>1833</v>
      </c>
      <c r="D181" s="67">
        <v>2</v>
      </c>
      <c r="E181" s="68"/>
      <c r="F181" s="69">
        <v>32</v>
      </c>
      <c r="G181" s="66"/>
      <c r="H181" s="70"/>
      <c r="I181" s="71"/>
      <c r="J181" s="71"/>
      <c r="K181" s="34" t="s">
        <v>66</v>
      </c>
      <c r="L181" s="78">
        <v>181</v>
      </c>
      <c r="M181" s="78"/>
      <c r="N181" s="73"/>
      <c r="O181" s="80" t="s">
        <v>211</v>
      </c>
      <c r="P181" s="80" t="s">
        <v>212</v>
      </c>
      <c r="Q181" s="80" t="s">
        <v>788</v>
      </c>
      <c r="R181" s="80" t="s">
        <v>549</v>
      </c>
      <c r="S181" s="80" t="s">
        <v>1011</v>
      </c>
      <c r="T181" s="82" t="str">
        <f>HYPERLINK("http://www.youtube.com/channel/UCZA_5vGtSpZu86VBDdSnSag")</f>
        <v>http://www.youtube.com/channel/UCZA_5vGtSpZu86VBDdSnSag</v>
      </c>
      <c r="U181" s="80" t="s">
        <v>1141</v>
      </c>
      <c r="V181" s="80" t="s">
        <v>1211</v>
      </c>
      <c r="W181" s="82" t="str">
        <f>HYPERLINK("https://www.youtube.com/watch?v=ahkB4Lj7kjA")</f>
        <v>https://www.youtube.com/watch?v=ahkB4Lj7kjA</v>
      </c>
      <c r="X181" s="80" t="s">
        <v>213</v>
      </c>
      <c r="Y181" s="80">
        <v>0</v>
      </c>
      <c r="Z181" s="84">
        <v>44001.12398148148</v>
      </c>
      <c r="AA181" s="84">
        <v>44001.12398148148</v>
      </c>
      <c r="AB181" s="80"/>
      <c r="AC181" s="80"/>
      <c r="AD181" s="80"/>
      <c r="AE181" s="80">
        <v>2</v>
      </c>
      <c r="AF181" s="79" t="str">
        <f>REPLACE(INDEX(GroupVertices[Group],MATCH(Edges[[#This Row],[Vertex 1]],GroupVertices[Vertex],0)),1,1,"")</f>
        <v>20</v>
      </c>
      <c r="AG181" s="79" t="str">
        <f>REPLACE(INDEX(GroupVertices[Group],MATCH(Edges[[#This Row],[Vertex 2]],GroupVertices[Vertex],0)),1,1,"")</f>
        <v>20</v>
      </c>
      <c r="AH181" s="34"/>
      <c r="AI181" s="34"/>
      <c r="AJ181" s="34"/>
      <c r="AK181" s="34"/>
      <c r="AL181" s="34"/>
      <c r="AM181" s="34"/>
      <c r="AN181" s="34"/>
      <c r="AO181" s="34"/>
      <c r="AP181" s="34"/>
    </row>
    <row r="182" spans="1:42" ht="15">
      <c r="A182" s="65" t="s">
        <v>549</v>
      </c>
      <c r="B182" s="65" t="s">
        <v>550</v>
      </c>
      <c r="C182" s="66" t="s">
        <v>1833</v>
      </c>
      <c r="D182" s="67">
        <v>2</v>
      </c>
      <c r="E182" s="68"/>
      <c r="F182" s="69">
        <v>32</v>
      </c>
      <c r="G182" s="66"/>
      <c r="H182" s="70"/>
      <c r="I182" s="71"/>
      <c r="J182" s="71"/>
      <c r="K182" s="34" t="s">
        <v>66</v>
      </c>
      <c r="L182" s="78">
        <v>182</v>
      </c>
      <c r="M182" s="78"/>
      <c r="N182" s="73"/>
      <c r="O182" s="80" t="s">
        <v>211</v>
      </c>
      <c r="P182" s="80" t="s">
        <v>212</v>
      </c>
      <c r="Q182" s="80" t="s">
        <v>789</v>
      </c>
      <c r="R182" s="80" t="s">
        <v>549</v>
      </c>
      <c r="S182" s="80" t="s">
        <v>1011</v>
      </c>
      <c r="T182" s="82" t="str">
        <f>HYPERLINK("http://www.youtube.com/channel/UCZA_5vGtSpZu86VBDdSnSag")</f>
        <v>http://www.youtube.com/channel/UCZA_5vGtSpZu86VBDdSnSag</v>
      </c>
      <c r="U182" s="80" t="s">
        <v>1141</v>
      </c>
      <c r="V182" s="80" t="s">
        <v>1211</v>
      </c>
      <c r="W182" s="82" t="str">
        <f>HYPERLINK("https://www.youtube.com/watch?v=ahkB4Lj7kjA")</f>
        <v>https://www.youtube.com/watch?v=ahkB4Lj7kjA</v>
      </c>
      <c r="X182" s="80" t="s">
        <v>213</v>
      </c>
      <c r="Y182" s="80">
        <v>0</v>
      </c>
      <c r="Z182" s="84">
        <v>44002.7296875</v>
      </c>
      <c r="AA182" s="84">
        <v>44002.7296875</v>
      </c>
      <c r="AB182" s="80"/>
      <c r="AC182" s="80"/>
      <c r="AD182" s="80"/>
      <c r="AE182" s="80">
        <v>2</v>
      </c>
      <c r="AF182" s="79" t="str">
        <f>REPLACE(INDEX(GroupVertices[Group],MATCH(Edges[[#This Row],[Vertex 1]],GroupVertices[Vertex],0)),1,1,"")</f>
        <v>20</v>
      </c>
      <c r="AG182" s="79" t="str">
        <f>REPLACE(INDEX(GroupVertices[Group],MATCH(Edges[[#This Row],[Vertex 2]],GroupVertices[Vertex],0)),1,1,"")</f>
        <v>20</v>
      </c>
      <c r="AH182" s="34"/>
      <c r="AI182" s="34"/>
      <c r="AJ182" s="34"/>
      <c r="AK182" s="34"/>
      <c r="AL182" s="34"/>
      <c r="AM182" s="34"/>
      <c r="AN182" s="34"/>
      <c r="AO182" s="34"/>
      <c r="AP182" s="34"/>
    </row>
    <row r="183" spans="1:42" ht="15">
      <c r="A183" s="65" t="s">
        <v>550</v>
      </c>
      <c r="B183" s="65" t="s">
        <v>549</v>
      </c>
      <c r="C183" s="66" t="s">
        <v>1853</v>
      </c>
      <c r="D183" s="67">
        <v>2</v>
      </c>
      <c r="E183" s="68"/>
      <c r="F183" s="69">
        <v>32</v>
      </c>
      <c r="G183" s="66"/>
      <c r="H183" s="70"/>
      <c r="I183" s="71"/>
      <c r="J183" s="71"/>
      <c r="K183" s="34" t="s">
        <v>66</v>
      </c>
      <c r="L183" s="78">
        <v>183</v>
      </c>
      <c r="M183" s="78"/>
      <c r="N183" s="73"/>
      <c r="O183" s="80" t="s">
        <v>210</v>
      </c>
      <c r="P183" s="80" t="s">
        <v>196</v>
      </c>
      <c r="Q183" s="80" t="s">
        <v>790</v>
      </c>
      <c r="R183" s="80" t="s">
        <v>550</v>
      </c>
      <c r="S183" s="80" t="s">
        <v>1012</v>
      </c>
      <c r="T183" s="82" t="str">
        <f>HYPERLINK("http://www.youtube.com/channel/UC7ZGuLte3YMg-CMkBsc_R2A")</f>
        <v>http://www.youtube.com/channel/UC7ZGuLte3YMg-CMkBsc_R2A</v>
      </c>
      <c r="U183" s="80"/>
      <c r="V183" s="80" t="s">
        <v>1211</v>
      </c>
      <c r="W183" s="82" t="str">
        <f>HYPERLINK("https://www.youtube.com/watch?v=ahkB4Lj7kjA")</f>
        <v>https://www.youtube.com/watch?v=ahkB4Lj7kjA</v>
      </c>
      <c r="X183" s="80" t="s">
        <v>213</v>
      </c>
      <c r="Y183" s="80">
        <v>1</v>
      </c>
      <c r="Z183" s="84">
        <v>44000.74835648148</v>
      </c>
      <c r="AA183" s="84">
        <v>44000.74835648148</v>
      </c>
      <c r="AB183" s="80" t="s">
        <v>1237</v>
      </c>
      <c r="AC183" s="80" t="s">
        <v>1254</v>
      </c>
      <c r="AD183" s="80"/>
      <c r="AE183" s="80">
        <v>1</v>
      </c>
      <c r="AF183" s="79" t="str">
        <f>REPLACE(INDEX(GroupVertices[Group],MATCH(Edges[[#This Row],[Vertex 1]],GroupVertices[Vertex],0)),1,1,"")</f>
        <v>20</v>
      </c>
      <c r="AG183" s="79" t="str">
        <f>REPLACE(INDEX(GroupVertices[Group],MATCH(Edges[[#This Row],[Vertex 2]],GroupVertices[Vertex],0)),1,1,"")</f>
        <v>20</v>
      </c>
      <c r="AH183" s="34"/>
      <c r="AI183" s="34"/>
      <c r="AJ183" s="34"/>
      <c r="AK183" s="34"/>
      <c r="AL183" s="34"/>
      <c r="AM183" s="34"/>
      <c r="AN183" s="34"/>
      <c r="AO183" s="34"/>
      <c r="AP183" s="34"/>
    </row>
    <row r="184" spans="1:42" ht="15">
      <c r="A184" s="65" t="s">
        <v>549</v>
      </c>
      <c r="B184" s="65" t="s">
        <v>551</v>
      </c>
      <c r="C184" s="66" t="s">
        <v>1853</v>
      </c>
      <c r="D184" s="67">
        <v>2</v>
      </c>
      <c r="E184" s="68"/>
      <c r="F184" s="69">
        <v>32</v>
      </c>
      <c r="G184" s="66"/>
      <c r="H184" s="70"/>
      <c r="I184" s="71"/>
      <c r="J184" s="71"/>
      <c r="K184" s="34" t="s">
        <v>66</v>
      </c>
      <c r="L184" s="78">
        <v>184</v>
      </c>
      <c r="M184" s="78"/>
      <c r="N184" s="73"/>
      <c r="O184" s="80" t="s">
        <v>211</v>
      </c>
      <c r="P184" s="80" t="s">
        <v>212</v>
      </c>
      <c r="Q184" s="80" t="s">
        <v>791</v>
      </c>
      <c r="R184" s="80" t="s">
        <v>549</v>
      </c>
      <c r="S184" s="80" t="s">
        <v>1011</v>
      </c>
      <c r="T184" s="82" t="str">
        <f>HYPERLINK("http://www.youtube.com/channel/UCZA_5vGtSpZu86VBDdSnSag")</f>
        <v>http://www.youtube.com/channel/UCZA_5vGtSpZu86VBDdSnSag</v>
      </c>
      <c r="U184" s="80" t="s">
        <v>1142</v>
      </c>
      <c r="V184" s="80" t="s">
        <v>1211</v>
      </c>
      <c r="W184" s="82" t="str">
        <f>HYPERLINK("https://www.youtube.com/watch?v=ahkB4Lj7kjA")</f>
        <v>https://www.youtube.com/watch?v=ahkB4Lj7kjA</v>
      </c>
      <c r="X184" s="80" t="s">
        <v>213</v>
      </c>
      <c r="Y184" s="80">
        <v>0</v>
      </c>
      <c r="Z184" s="84">
        <v>44002.255833333336</v>
      </c>
      <c r="AA184" s="84">
        <v>44002.255833333336</v>
      </c>
      <c r="AB184" s="80"/>
      <c r="AC184" s="80"/>
      <c r="AD184" s="80"/>
      <c r="AE184" s="80">
        <v>1</v>
      </c>
      <c r="AF184" s="79" t="str">
        <f>REPLACE(INDEX(GroupVertices[Group],MATCH(Edges[[#This Row],[Vertex 1]],GroupVertices[Vertex],0)),1,1,"")</f>
        <v>20</v>
      </c>
      <c r="AG184" s="79" t="str">
        <f>REPLACE(INDEX(GroupVertices[Group],MATCH(Edges[[#This Row],[Vertex 2]],GroupVertices[Vertex],0)),1,1,"")</f>
        <v>20</v>
      </c>
      <c r="AH184" s="34"/>
      <c r="AI184" s="34"/>
      <c r="AJ184" s="34"/>
      <c r="AK184" s="34"/>
      <c r="AL184" s="34"/>
      <c r="AM184" s="34"/>
      <c r="AN184" s="34"/>
      <c r="AO184" s="34"/>
      <c r="AP184" s="34"/>
    </row>
    <row r="185" spans="1:42" ht="15">
      <c r="A185" s="65" t="s">
        <v>551</v>
      </c>
      <c r="B185" s="65" t="s">
        <v>549</v>
      </c>
      <c r="C185" s="66" t="s">
        <v>1853</v>
      </c>
      <c r="D185" s="67">
        <v>2</v>
      </c>
      <c r="E185" s="68"/>
      <c r="F185" s="69">
        <v>32</v>
      </c>
      <c r="G185" s="66"/>
      <c r="H185" s="70"/>
      <c r="I185" s="71"/>
      <c r="J185" s="71"/>
      <c r="K185" s="34" t="s">
        <v>66</v>
      </c>
      <c r="L185" s="78">
        <v>185</v>
      </c>
      <c r="M185" s="78"/>
      <c r="N185" s="73"/>
      <c r="O185" s="80" t="s">
        <v>210</v>
      </c>
      <c r="P185" s="80" t="s">
        <v>196</v>
      </c>
      <c r="Q185" s="80" t="s">
        <v>792</v>
      </c>
      <c r="R185" s="80" t="s">
        <v>551</v>
      </c>
      <c r="S185" s="80" t="s">
        <v>1013</v>
      </c>
      <c r="T185" s="82" t="str">
        <f>HYPERLINK("http://www.youtube.com/channel/UCXdBdFeLezLwbzJcB_ENyfA")</f>
        <v>http://www.youtube.com/channel/UCXdBdFeLezLwbzJcB_ENyfA</v>
      </c>
      <c r="U185" s="80"/>
      <c r="V185" s="80" t="s">
        <v>1211</v>
      </c>
      <c r="W185" s="82" t="str">
        <f>HYPERLINK("https://www.youtube.com/watch?v=ahkB4Lj7kjA")</f>
        <v>https://www.youtube.com/watch?v=ahkB4Lj7kjA</v>
      </c>
      <c r="X185" s="80" t="s">
        <v>213</v>
      </c>
      <c r="Y185" s="80">
        <v>1</v>
      </c>
      <c r="Z185" s="84">
        <v>44002.153136574074</v>
      </c>
      <c r="AA185" s="84">
        <v>44002.153136574074</v>
      </c>
      <c r="AB185" s="80"/>
      <c r="AC185" s="80"/>
      <c r="AD185" s="80"/>
      <c r="AE185" s="80">
        <v>1</v>
      </c>
      <c r="AF185" s="79" t="str">
        <f>REPLACE(INDEX(GroupVertices[Group],MATCH(Edges[[#This Row],[Vertex 1]],GroupVertices[Vertex],0)),1,1,"")</f>
        <v>20</v>
      </c>
      <c r="AG185" s="79" t="str">
        <f>REPLACE(INDEX(GroupVertices[Group],MATCH(Edges[[#This Row],[Vertex 2]],GroupVertices[Vertex],0)),1,1,"")</f>
        <v>20</v>
      </c>
      <c r="AH185" s="34"/>
      <c r="AI185" s="34"/>
      <c r="AJ185" s="34"/>
      <c r="AK185" s="34"/>
      <c r="AL185" s="34"/>
      <c r="AM185" s="34"/>
      <c r="AN185" s="34"/>
      <c r="AO185" s="34"/>
      <c r="AP185" s="34"/>
    </row>
    <row r="186" spans="1:42" ht="15">
      <c r="A186" s="65" t="s">
        <v>552</v>
      </c>
      <c r="B186" s="65" t="s">
        <v>554</v>
      </c>
      <c r="C186" s="66" t="s">
        <v>1833</v>
      </c>
      <c r="D186" s="67">
        <v>2</v>
      </c>
      <c r="E186" s="68"/>
      <c r="F186" s="69">
        <v>32</v>
      </c>
      <c r="G186" s="66"/>
      <c r="H186" s="70"/>
      <c r="I186" s="71"/>
      <c r="J186" s="71"/>
      <c r="K186" s="34" t="s">
        <v>65</v>
      </c>
      <c r="L186" s="78">
        <v>186</v>
      </c>
      <c r="M186" s="78"/>
      <c r="N186" s="73"/>
      <c r="O186" s="80" t="s">
        <v>211</v>
      </c>
      <c r="P186" s="80" t="s">
        <v>212</v>
      </c>
      <c r="Q186" s="80" t="s">
        <v>793</v>
      </c>
      <c r="R186" s="80" t="s">
        <v>552</v>
      </c>
      <c r="S186" s="80" t="s">
        <v>1014</v>
      </c>
      <c r="T186" s="82" t="str">
        <f>HYPERLINK("http://www.youtube.com/channel/UCqop8tlrCuuuczAfxrR5j1A")</f>
        <v>http://www.youtube.com/channel/UCqop8tlrCuuuczAfxrR5j1A</v>
      </c>
      <c r="U186" s="80" t="s">
        <v>1143</v>
      </c>
      <c r="V186" s="80" t="s">
        <v>1212</v>
      </c>
      <c r="W186" s="82" t="str">
        <f>HYPERLINK("https://www.youtube.com/watch?v=14KCckNbmvs")</f>
        <v>https://www.youtube.com/watch?v=14KCckNbmvs</v>
      </c>
      <c r="X186" s="80" t="s">
        <v>213</v>
      </c>
      <c r="Y186" s="80">
        <v>0</v>
      </c>
      <c r="Z186" s="84">
        <v>44000.8281712963</v>
      </c>
      <c r="AA186" s="84">
        <v>44000.8281712963</v>
      </c>
      <c r="AB186" s="80"/>
      <c r="AC186" s="80"/>
      <c r="AD186" s="80"/>
      <c r="AE186" s="80">
        <v>2</v>
      </c>
      <c r="AF186" s="79" t="str">
        <f>REPLACE(INDEX(GroupVertices[Group],MATCH(Edges[[#This Row],[Vertex 1]],GroupVertices[Vertex],0)),1,1,"")</f>
        <v>19</v>
      </c>
      <c r="AG186" s="79" t="str">
        <f>REPLACE(INDEX(GroupVertices[Group],MATCH(Edges[[#This Row],[Vertex 2]],GroupVertices[Vertex],0)),1,1,"")</f>
        <v>19</v>
      </c>
      <c r="AH186" s="34"/>
      <c r="AI186" s="34"/>
      <c r="AJ186" s="34"/>
      <c r="AK186" s="34"/>
      <c r="AL186" s="34"/>
      <c r="AM186" s="34"/>
      <c r="AN186" s="34"/>
      <c r="AO186" s="34"/>
      <c r="AP186" s="34"/>
    </row>
    <row r="187" spans="1:42" ht="15">
      <c r="A187" s="65" t="s">
        <v>552</v>
      </c>
      <c r="B187" s="65" t="s">
        <v>554</v>
      </c>
      <c r="C187" s="66" t="s">
        <v>1833</v>
      </c>
      <c r="D187" s="67">
        <v>2</v>
      </c>
      <c r="E187" s="68"/>
      <c r="F187" s="69">
        <v>32</v>
      </c>
      <c r="G187" s="66"/>
      <c r="H187" s="70"/>
      <c r="I187" s="71"/>
      <c r="J187" s="71"/>
      <c r="K187" s="34" t="s">
        <v>65</v>
      </c>
      <c r="L187" s="78">
        <v>187</v>
      </c>
      <c r="M187" s="78"/>
      <c r="N187" s="73"/>
      <c r="O187" s="80" t="s">
        <v>211</v>
      </c>
      <c r="P187" s="80" t="s">
        <v>212</v>
      </c>
      <c r="Q187" s="80" t="s">
        <v>794</v>
      </c>
      <c r="R187" s="80" t="s">
        <v>552</v>
      </c>
      <c r="S187" s="80" t="s">
        <v>1014</v>
      </c>
      <c r="T187" s="82" t="str">
        <f>HYPERLINK("http://www.youtube.com/channel/UCqop8tlrCuuuczAfxrR5j1A")</f>
        <v>http://www.youtube.com/channel/UCqop8tlrCuuuczAfxrR5j1A</v>
      </c>
      <c r="U187" s="80" t="s">
        <v>1143</v>
      </c>
      <c r="V187" s="80" t="s">
        <v>1212</v>
      </c>
      <c r="W187" s="82" t="str">
        <f>HYPERLINK("https://www.youtube.com/watch?v=14KCckNbmvs")</f>
        <v>https://www.youtube.com/watch?v=14KCckNbmvs</v>
      </c>
      <c r="X187" s="80" t="s">
        <v>213</v>
      </c>
      <c r="Y187" s="80">
        <v>0</v>
      </c>
      <c r="Z187" s="84">
        <v>44000.83146990741</v>
      </c>
      <c r="AA187" s="84">
        <v>44000.83146990741</v>
      </c>
      <c r="AB187" s="80"/>
      <c r="AC187" s="80"/>
      <c r="AD187" s="80"/>
      <c r="AE187" s="80">
        <v>2</v>
      </c>
      <c r="AF187" s="79" t="str">
        <f>REPLACE(INDEX(GroupVertices[Group],MATCH(Edges[[#This Row],[Vertex 1]],GroupVertices[Vertex],0)),1,1,"")</f>
        <v>19</v>
      </c>
      <c r="AG187" s="79" t="str">
        <f>REPLACE(INDEX(GroupVertices[Group],MATCH(Edges[[#This Row],[Vertex 2]],GroupVertices[Vertex],0)),1,1,"")</f>
        <v>19</v>
      </c>
      <c r="AH187" s="34"/>
      <c r="AI187" s="34"/>
      <c r="AJ187" s="34"/>
      <c r="AK187" s="34"/>
      <c r="AL187" s="34"/>
      <c r="AM187" s="34"/>
      <c r="AN187" s="34"/>
      <c r="AO187" s="34"/>
      <c r="AP187" s="34"/>
    </row>
    <row r="188" spans="1:42" ht="15">
      <c r="A188" s="65" t="s">
        <v>553</v>
      </c>
      <c r="B188" s="65" t="s">
        <v>554</v>
      </c>
      <c r="C188" s="66" t="s">
        <v>1853</v>
      </c>
      <c r="D188" s="67">
        <v>2</v>
      </c>
      <c r="E188" s="68"/>
      <c r="F188" s="69">
        <v>32</v>
      </c>
      <c r="G188" s="66"/>
      <c r="H188" s="70"/>
      <c r="I188" s="71"/>
      <c r="J188" s="71"/>
      <c r="K188" s="34" t="s">
        <v>65</v>
      </c>
      <c r="L188" s="78">
        <v>188</v>
      </c>
      <c r="M188" s="78"/>
      <c r="N188" s="73"/>
      <c r="O188" s="80" t="s">
        <v>211</v>
      </c>
      <c r="P188" s="80" t="s">
        <v>212</v>
      </c>
      <c r="Q188" s="80" t="s">
        <v>795</v>
      </c>
      <c r="R188" s="80" t="s">
        <v>553</v>
      </c>
      <c r="S188" s="80" t="s">
        <v>1015</v>
      </c>
      <c r="T188" s="82" t="str">
        <f>HYPERLINK("http://www.youtube.com/channel/UCfth7ICp0EaKM6YyQPjvoOg")</f>
        <v>http://www.youtube.com/channel/UCfth7ICp0EaKM6YyQPjvoOg</v>
      </c>
      <c r="U188" s="80" t="s">
        <v>1143</v>
      </c>
      <c r="V188" s="80" t="s">
        <v>1212</v>
      </c>
      <c r="W188" s="82" t="str">
        <f>HYPERLINK("https://www.youtube.com/watch?v=14KCckNbmvs")</f>
        <v>https://www.youtube.com/watch?v=14KCckNbmvs</v>
      </c>
      <c r="X188" s="80" t="s">
        <v>213</v>
      </c>
      <c r="Y188" s="80">
        <v>0</v>
      </c>
      <c r="Z188" s="84">
        <v>44000.95741898148</v>
      </c>
      <c r="AA188" s="84">
        <v>44000.95741898148</v>
      </c>
      <c r="AB188" s="80"/>
      <c r="AC188" s="80"/>
      <c r="AD188" s="80"/>
      <c r="AE188" s="80">
        <v>1</v>
      </c>
      <c r="AF188" s="79" t="str">
        <f>REPLACE(INDEX(GroupVertices[Group],MATCH(Edges[[#This Row],[Vertex 1]],GroupVertices[Vertex],0)),1,1,"")</f>
        <v>19</v>
      </c>
      <c r="AG188" s="79" t="str">
        <f>REPLACE(INDEX(GroupVertices[Group],MATCH(Edges[[#This Row],[Vertex 2]],GroupVertices[Vertex],0)),1,1,"")</f>
        <v>19</v>
      </c>
      <c r="AH188" s="34"/>
      <c r="AI188" s="34"/>
      <c r="AJ188" s="34"/>
      <c r="AK188" s="34"/>
      <c r="AL188" s="34"/>
      <c r="AM188" s="34"/>
      <c r="AN188" s="34"/>
      <c r="AO188" s="34"/>
      <c r="AP188" s="34"/>
    </row>
    <row r="189" spans="1:42" ht="15">
      <c r="A189" s="65" t="s">
        <v>461</v>
      </c>
      <c r="B189" s="65" t="s">
        <v>554</v>
      </c>
      <c r="C189" s="66" t="s">
        <v>1833</v>
      </c>
      <c r="D189" s="67">
        <v>2</v>
      </c>
      <c r="E189" s="68"/>
      <c r="F189" s="69">
        <v>32</v>
      </c>
      <c r="G189" s="66"/>
      <c r="H189" s="70"/>
      <c r="I189" s="71"/>
      <c r="J189" s="71"/>
      <c r="K189" s="34" t="s">
        <v>66</v>
      </c>
      <c r="L189" s="78">
        <v>189</v>
      </c>
      <c r="M189" s="78"/>
      <c r="N189" s="73"/>
      <c r="O189" s="80" t="s">
        <v>211</v>
      </c>
      <c r="P189" s="80" t="s">
        <v>212</v>
      </c>
      <c r="Q189" s="80" t="s">
        <v>796</v>
      </c>
      <c r="R189" s="80" t="s">
        <v>461</v>
      </c>
      <c r="S189" s="80" t="s">
        <v>923</v>
      </c>
      <c r="T189" s="82" t="str">
        <f>HYPERLINK("http://www.youtube.com/channel/UCFp1vaKzpfvoGai0vE5VJ0w")</f>
        <v>http://www.youtube.com/channel/UCFp1vaKzpfvoGai0vE5VJ0w</v>
      </c>
      <c r="U189" s="80" t="s">
        <v>1143</v>
      </c>
      <c r="V189" s="80" t="s">
        <v>1212</v>
      </c>
      <c r="W189" s="82" t="str">
        <f>HYPERLINK("https://www.youtube.com/watch?v=14KCckNbmvs")</f>
        <v>https://www.youtube.com/watch?v=14KCckNbmvs</v>
      </c>
      <c r="X189" s="80" t="s">
        <v>213</v>
      </c>
      <c r="Y189" s="80">
        <v>1</v>
      </c>
      <c r="Z189" s="84">
        <v>44002.98403935185</v>
      </c>
      <c r="AA189" s="84">
        <v>44002.98403935185</v>
      </c>
      <c r="AB189" s="80"/>
      <c r="AC189" s="80"/>
      <c r="AD189" s="80"/>
      <c r="AE189" s="80">
        <v>2</v>
      </c>
      <c r="AF189" s="79" t="str">
        <f>REPLACE(INDEX(GroupVertices[Group],MATCH(Edges[[#This Row],[Vertex 1]],GroupVertices[Vertex],0)),1,1,"")</f>
        <v>2</v>
      </c>
      <c r="AG189" s="79" t="str">
        <f>REPLACE(INDEX(GroupVertices[Group],MATCH(Edges[[#This Row],[Vertex 2]],GroupVertices[Vertex],0)),1,1,"")</f>
        <v>19</v>
      </c>
      <c r="AH189" s="34"/>
      <c r="AI189" s="34"/>
      <c r="AJ189" s="34"/>
      <c r="AK189" s="34"/>
      <c r="AL189" s="34"/>
      <c r="AM189" s="34"/>
      <c r="AN189" s="34"/>
      <c r="AO189" s="34"/>
      <c r="AP189" s="34"/>
    </row>
    <row r="190" spans="1:42" ht="15">
      <c r="A190" s="65" t="s">
        <v>461</v>
      </c>
      <c r="B190" s="65" t="s">
        <v>554</v>
      </c>
      <c r="C190" s="66" t="s">
        <v>1833</v>
      </c>
      <c r="D190" s="67">
        <v>2</v>
      </c>
      <c r="E190" s="68"/>
      <c r="F190" s="69">
        <v>32</v>
      </c>
      <c r="G190" s="66"/>
      <c r="H190" s="70"/>
      <c r="I190" s="71"/>
      <c r="J190" s="71"/>
      <c r="K190" s="34" t="s">
        <v>66</v>
      </c>
      <c r="L190" s="78">
        <v>190</v>
      </c>
      <c r="M190" s="78"/>
      <c r="N190" s="73"/>
      <c r="O190" s="80" t="s">
        <v>211</v>
      </c>
      <c r="P190" s="80" t="s">
        <v>212</v>
      </c>
      <c r="Q190" s="80" t="s">
        <v>797</v>
      </c>
      <c r="R190" s="80" t="s">
        <v>461</v>
      </c>
      <c r="S190" s="80" t="s">
        <v>923</v>
      </c>
      <c r="T190" s="82" t="str">
        <f>HYPERLINK("http://www.youtube.com/channel/UCFp1vaKzpfvoGai0vE5VJ0w")</f>
        <v>http://www.youtube.com/channel/UCFp1vaKzpfvoGai0vE5VJ0w</v>
      </c>
      <c r="U190" s="80" t="s">
        <v>1143</v>
      </c>
      <c r="V190" s="80" t="s">
        <v>1212</v>
      </c>
      <c r="W190" s="82" t="str">
        <f>HYPERLINK("https://www.youtube.com/watch?v=14KCckNbmvs")</f>
        <v>https://www.youtube.com/watch?v=14KCckNbmvs</v>
      </c>
      <c r="X190" s="80" t="s">
        <v>213</v>
      </c>
      <c r="Y190" s="80">
        <v>0</v>
      </c>
      <c r="Z190" s="84">
        <v>44002.98447916667</v>
      </c>
      <c r="AA190" s="84">
        <v>44002.98447916667</v>
      </c>
      <c r="AB190" s="80"/>
      <c r="AC190" s="80"/>
      <c r="AD190" s="80"/>
      <c r="AE190" s="80">
        <v>2</v>
      </c>
      <c r="AF190" s="79" t="str">
        <f>REPLACE(INDEX(GroupVertices[Group],MATCH(Edges[[#This Row],[Vertex 1]],GroupVertices[Vertex],0)),1,1,"")</f>
        <v>2</v>
      </c>
      <c r="AG190" s="79" t="str">
        <f>REPLACE(INDEX(GroupVertices[Group],MATCH(Edges[[#This Row],[Vertex 2]],GroupVertices[Vertex],0)),1,1,"")</f>
        <v>19</v>
      </c>
      <c r="AH190" s="34"/>
      <c r="AI190" s="34"/>
      <c r="AJ190" s="34"/>
      <c r="AK190" s="34"/>
      <c r="AL190" s="34"/>
      <c r="AM190" s="34"/>
      <c r="AN190" s="34"/>
      <c r="AO190" s="34"/>
      <c r="AP190" s="34"/>
    </row>
    <row r="191" spans="1:42" ht="15">
      <c r="A191" s="65" t="s">
        <v>554</v>
      </c>
      <c r="B191" s="65" t="s">
        <v>461</v>
      </c>
      <c r="C191" s="66" t="s">
        <v>1853</v>
      </c>
      <c r="D191" s="67">
        <v>2</v>
      </c>
      <c r="E191" s="68"/>
      <c r="F191" s="69">
        <v>32</v>
      </c>
      <c r="G191" s="66"/>
      <c r="H191" s="70"/>
      <c r="I191" s="71"/>
      <c r="J191" s="71"/>
      <c r="K191" s="34" t="s">
        <v>66</v>
      </c>
      <c r="L191" s="78">
        <v>191</v>
      </c>
      <c r="M191" s="78"/>
      <c r="N191" s="73"/>
      <c r="O191" s="80" t="s">
        <v>210</v>
      </c>
      <c r="P191" s="80" t="s">
        <v>196</v>
      </c>
      <c r="Q191" s="80" t="s">
        <v>798</v>
      </c>
      <c r="R191" s="80" t="s">
        <v>554</v>
      </c>
      <c r="S191" s="80" t="s">
        <v>1016</v>
      </c>
      <c r="T191" s="82" t="str">
        <f>HYPERLINK("http://www.youtube.com/channel/UCDRa3hAzNSyCXYMm6zncajQ")</f>
        <v>http://www.youtube.com/channel/UCDRa3hAzNSyCXYMm6zncajQ</v>
      </c>
      <c r="U191" s="80"/>
      <c r="V191" s="80" t="s">
        <v>1212</v>
      </c>
      <c r="W191" s="82" t="str">
        <f>HYPERLINK("https://www.youtube.com/watch?v=14KCckNbmvs")</f>
        <v>https://www.youtube.com/watch?v=14KCckNbmvs</v>
      </c>
      <c r="X191" s="80" t="s">
        <v>213</v>
      </c>
      <c r="Y191" s="80">
        <v>1</v>
      </c>
      <c r="Z191" s="84">
        <v>44000.79043981482</v>
      </c>
      <c r="AA191" s="84">
        <v>44000.79070601852</v>
      </c>
      <c r="AB191" s="80"/>
      <c r="AC191" s="80"/>
      <c r="AD191" s="80"/>
      <c r="AE191" s="80">
        <v>1</v>
      </c>
      <c r="AF191" s="79" t="str">
        <f>REPLACE(INDEX(GroupVertices[Group],MATCH(Edges[[#This Row],[Vertex 1]],GroupVertices[Vertex],0)),1,1,"")</f>
        <v>19</v>
      </c>
      <c r="AG191" s="79" t="str">
        <f>REPLACE(INDEX(GroupVertices[Group],MATCH(Edges[[#This Row],[Vertex 2]],GroupVertices[Vertex],0)),1,1,"")</f>
        <v>2</v>
      </c>
      <c r="AH191" s="34"/>
      <c r="AI191" s="34"/>
      <c r="AJ191" s="34"/>
      <c r="AK191" s="34"/>
      <c r="AL191" s="34"/>
      <c r="AM191" s="34"/>
      <c r="AN191" s="34"/>
      <c r="AO191" s="34"/>
      <c r="AP191" s="34"/>
    </row>
    <row r="192" spans="1:42" ht="15">
      <c r="A192" s="65" t="s">
        <v>461</v>
      </c>
      <c r="B192" s="65" t="s">
        <v>555</v>
      </c>
      <c r="C192" s="66" t="s">
        <v>1853</v>
      </c>
      <c r="D192" s="67">
        <v>2</v>
      </c>
      <c r="E192" s="68"/>
      <c r="F192" s="69">
        <v>32</v>
      </c>
      <c r="G192" s="66"/>
      <c r="H192" s="70"/>
      <c r="I192" s="71"/>
      <c r="J192" s="71"/>
      <c r="K192" s="34" t="s">
        <v>66</v>
      </c>
      <c r="L192" s="78">
        <v>192</v>
      </c>
      <c r="M192" s="78"/>
      <c r="N192" s="73"/>
      <c r="O192" s="80" t="s">
        <v>211</v>
      </c>
      <c r="P192" s="80" t="s">
        <v>212</v>
      </c>
      <c r="Q192" s="80" t="s">
        <v>799</v>
      </c>
      <c r="R192" s="80" t="s">
        <v>461</v>
      </c>
      <c r="S192" s="80" t="s">
        <v>923</v>
      </c>
      <c r="T192" s="82" t="str">
        <f>HYPERLINK("http://www.youtube.com/channel/UCFp1vaKzpfvoGai0vE5VJ0w")</f>
        <v>http://www.youtube.com/channel/UCFp1vaKzpfvoGai0vE5VJ0w</v>
      </c>
      <c r="U192" s="80" t="s">
        <v>1144</v>
      </c>
      <c r="V192" s="80" t="s">
        <v>1212</v>
      </c>
      <c r="W192" s="82" t="str">
        <f>HYPERLINK("https://www.youtube.com/watch?v=14KCckNbmvs")</f>
        <v>https://www.youtube.com/watch?v=14KCckNbmvs</v>
      </c>
      <c r="X192" s="80" t="s">
        <v>213</v>
      </c>
      <c r="Y192" s="80">
        <v>0</v>
      </c>
      <c r="Z192" s="84">
        <v>44002.98332175926</v>
      </c>
      <c r="AA192" s="84">
        <v>44002.98332175926</v>
      </c>
      <c r="AB192" s="80"/>
      <c r="AC192" s="80"/>
      <c r="AD192" s="80"/>
      <c r="AE192" s="80">
        <v>1</v>
      </c>
      <c r="AF192" s="79" t="str">
        <f>REPLACE(INDEX(GroupVertices[Group],MATCH(Edges[[#This Row],[Vertex 1]],GroupVertices[Vertex],0)),1,1,"")</f>
        <v>2</v>
      </c>
      <c r="AG192" s="79" t="str">
        <f>REPLACE(INDEX(GroupVertices[Group],MATCH(Edges[[#This Row],[Vertex 2]],GroupVertices[Vertex],0)),1,1,"")</f>
        <v>2</v>
      </c>
      <c r="AH192" s="34"/>
      <c r="AI192" s="34"/>
      <c r="AJ192" s="34"/>
      <c r="AK192" s="34"/>
      <c r="AL192" s="34"/>
      <c r="AM192" s="34"/>
      <c r="AN192" s="34"/>
      <c r="AO192" s="34"/>
      <c r="AP192" s="34"/>
    </row>
    <row r="193" spans="1:42" ht="15">
      <c r="A193" s="65" t="s">
        <v>555</v>
      </c>
      <c r="B193" s="65" t="s">
        <v>461</v>
      </c>
      <c r="C193" s="66" t="s">
        <v>1853</v>
      </c>
      <c r="D193" s="67">
        <v>2</v>
      </c>
      <c r="E193" s="68"/>
      <c r="F193" s="69">
        <v>32</v>
      </c>
      <c r="G193" s="66"/>
      <c r="H193" s="70"/>
      <c r="I193" s="71"/>
      <c r="J193" s="71"/>
      <c r="K193" s="34" t="s">
        <v>66</v>
      </c>
      <c r="L193" s="78">
        <v>193</v>
      </c>
      <c r="M193" s="78"/>
      <c r="N193" s="73"/>
      <c r="O193" s="80" t="s">
        <v>210</v>
      </c>
      <c r="P193" s="80" t="s">
        <v>196</v>
      </c>
      <c r="Q193" s="80" t="s">
        <v>800</v>
      </c>
      <c r="R193" s="80" t="s">
        <v>555</v>
      </c>
      <c r="S193" s="80" t="s">
        <v>1017</v>
      </c>
      <c r="T193" s="82" t="str">
        <f>HYPERLINK("http://www.youtube.com/channel/UCvr2RftXJBsY7vTlQCmxZaw")</f>
        <v>http://www.youtube.com/channel/UCvr2RftXJBsY7vTlQCmxZaw</v>
      </c>
      <c r="U193" s="80"/>
      <c r="V193" s="80" t="s">
        <v>1212</v>
      </c>
      <c r="W193" s="82" t="str">
        <f>HYPERLINK("https://www.youtube.com/watch?v=14KCckNbmvs")</f>
        <v>https://www.youtube.com/watch?v=14KCckNbmvs</v>
      </c>
      <c r="X193" s="80" t="s">
        <v>213</v>
      </c>
      <c r="Y193" s="80">
        <v>1</v>
      </c>
      <c r="Z193" s="84">
        <v>44000.82393518519</v>
      </c>
      <c r="AA193" s="84">
        <v>44000.82393518519</v>
      </c>
      <c r="AB193" s="80"/>
      <c r="AC193" s="80"/>
      <c r="AD193" s="80"/>
      <c r="AE193" s="80">
        <v>1</v>
      </c>
      <c r="AF193" s="79" t="str">
        <f>REPLACE(INDEX(GroupVertices[Group],MATCH(Edges[[#This Row],[Vertex 1]],GroupVertices[Vertex],0)),1,1,"")</f>
        <v>2</v>
      </c>
      <c r="AG193" s="79" t="str">
        <f>REPLACE(INDEX(GroupVertices[Group],MATCH(Edges[[#This Row],[Vertex 2]],GroupVertices[Vertex],0)),1,1,"")</f>
        <v>2</v>
      </c>
      <c r="AH193" s="34"/>
      <c r="AI193" s="34"/>
      <c r="AJ193" s="34"/>
      <c r="AK193" s="34"/>
      <c r="AL193" s="34"/>
      <c r="AM193" s="34"/>
      <c r="AN193" s="34"/>
      <c r="AO193" s="34"/>
      <c r="AP193" s="34"/>
    </row>
    <row r="194" spans="1:42" ht="15">
      <c r="A194" s="65" t="s">
        <v>461</v>
      </c>
      <c r="B194" s="65" t="s">
        <v>556</v>
      </c>
      <c r="C194" s="66" t="s">
        <v>1833</v>
      </c>
      <c r="D194" s="67">
        <v>2</v>
      </c>
      <c r="E194" s="68"/>
      <c r="F194" s="69">
        <v>32</v>
      </c>
      <c r="G194" s="66"/>
      <c r="H194" s="70"/>
      <c r="I194" s="71"/>
      <c r="J194" s="71"/>
      <c r="K194" s="34" t="s">
        <v>66</v>
      </c>
      <c r="L194" s="78">
        <v>194</v>
      </c>
      <c r="M194" s="78"/>
      <c r="N194" s="73"/>
      <c r="O194" s="80" t="s">
        <v>211</v>
      </c>
      <c r="P194" s="80" t="s">
        <v>212</v>
      </c>
      <c r="Q194" s="80" t="s">
        <v>801</v>
      </c>
      <c r="R194" s="80" t="s">
        <v>461</v>
      </c>
      <c r="S194" s="80" t="s">
        <v>923</v>
      </c>
      <c r="T194" s="82" t="str">
        <f>HYPERLINK("http://www.youtube.com/channel/UCFp1vaKzpfvoGai0vE5VJ0w")</f>
        <v>http://www.youtube.com/channel/UCFp1vaKzpfvoGai0vE5VJ0w</v>
      </c>
      <c r="U194" s="80" t="s">
        <v>1145</v>
      </c>
      <c r="V194" s="80" t="s">
        <v>1212</v>
      </c>
      <c r="W194" s="82" t="str">
        <f>HYPERLINK("https://www.youtube.com/watch?v=14KCckNbmvs")</f>
        <v>https://www.youtube.com/watch?v=14KCckNbmvs</v>
      </c>
      <c r="X194" s="80" t="s">
        <v>213</v>
      </c>
      <c r="Y194" s="80">
        <v>0</v>
      </c>
      <c r="Z194" s="84">
        <v>44002.98284722222</v>
      </c>
      <c r="AA194" s="84">
        <v>44002.98284722222</v>
      </c>
      <c r="AB194" s="80" t="s">
        <v>1238</v>
      </c>
      <c r="AC194" s="80" t="s">
        <v>215</v>
      </c>
      <c r="AD194" s="80"/>
      <c r="AE194" s="80">
        <v>2</v>
      </c>
      <c r="AF194" s="79" t="str">
        <f>REPLACE(INDEX(GroupVertices[Group],MATCH(Edges[[#This Row],[Vertex 1]],GroupVertices[Vertex],0)),1,1,"")</f>
        <v>2</v>
      </c>
      <c r="AG194" s="79" t="str">
        <f>REPLACE(INDEX(GroupVertices[Group],MATCH(Edges[[#This Row],[Vertex 2]],GroupVertices[Vertex],0)),1,1,"")</f>
        <v>2</v>
      </c>
      <c r="AH194" s="34"/>
      <c r="AI194" s="34"/>
      <c r="AJ194" s="34"/>
      <c r="AK194" s="34"/>
      <c r="AL194" s="34"/>
      <c r="AM194" s="34"/>
      <c r="AN194" s="34"/>
      <c r="AO194" s="34"/>
      <c r="AP194" s="34"/>
    </row>
    <row r="195" spans="1:42" ht="15">
      <c r="A195" s="65" t="s">
        <v>461</v>
      </c>
      <c r="B195" s="65" t="s">
        <v>556</v>
      </c>
      <c r="C195" s="66" t="s">
        <v>1833</v>
      </c>
      <c r="D195" s="67">
        <v>2</v>
      </c>
      <c r="E195" s="68"/>
      <c r="F195" s="69">
        <v>32</v>
      </c>
      <c r="G195" s="66"/>
      <c r="H195" s="70"/>
      <c r="I195" s="71"/>
      <c r="J195" s="71"/>
      <c r="K195" s="34" t="s">
        <v>66</v>
      </c>
      <c r="L195" s="78">
        <v>195</v>
      </c>
      <c r="M195" s="78"/>
      <c r="N195" s="73"/>
      <c r="O195" s="80" t="s">
        <v>211</v>
      </c>
      <c r="P195" s="80" t="s">
        <v>212</v>
      </c>
      <c r="Q195" s="80" t="s">
        <v>802</v>
      </c>
      <c r="R195" s="80" t="s">
        <v>461</v>
      </c>
      <c r="S195" s="80" t="s">
        <v>923</v>
      </c>
      <c r="T195" s="82" t="str">
        <f>HYPERLINK("http://www.youtube.com/channel/UCFp1vaKzpfvoGai0vE5VJ0w")</f>
        <v>http://www.youtube.com/channel/UCFp1vaKzpfvoGai0vE5VJ0w</v>
      </c>
      <c r="U195" s="80" t="s">
        <v>1145</v>
      </c>
      <c r="V195" s="80" t="s">
        <v>1212</v>
      </c>
      <c r="W195" s="82" t="str">
        <f>HYPERLINK("https://www.youtube.com/watch?v=14KCckNbmvs")</f>
        <v>https://www.youtube.com/watch?v=14KCckNbmvs</v>
      </c>
      <c r="X195" s="80" t="s">
        <v>213</v>
      </c>
      <c r="Y195" s="80">
        <v>0</v>
      </c>
      <c r="Z195" s="84">
        <v>44002.983148148145</v>
      </c>
      <c r="AA195" s="84">
        <v>44002.983148148145</v>
      </c>
      <c r="AB195" s="80" t="s">
        <v>1239</v>
      </c>
      <c r="AC195" s="80" t="s">
        <v>215</v>
      </c>
      <c r="AD195" s="80"/>
      <c r="AE195" s="80">
        <v>2</v>
      </c>
      <c r="AF195" s="79" t="str">
        <f>REPLACE(INDEX(GroupVertices[Group],MATCH(Edges[[#This Row],[Vertex 1]],GroupVertices[Vertex],0)),1,1,"")</f>
        <v>2</v>
      </c>
      <c r="AG195" s="79" t="str">
        <f>REPLACE(INDEX(GroupVertices[Group],MATCH(Edges[[#This Row],[Vertex 2]],GroupVertices[Vertex],0)),1,1,"")</f>
        <v>2</v>
      </c>
      <c r="AH195" s="34"/>
      <c r="AI195" s="34"/>
      <c r="AJ195" s="34"/>
      <c r="AK195" s="34"/>
      <c r="AL195" s="34"/>
      <c r="AM195" s="34"/>
      <c r="AN195" s="34"/>
      <c r="AO195" s="34"/>
      <c r="AP195" s="34"/>
    </row>
    <row r="196" spans="1:42" ht="15">
      <c r="A196" s="65" t="s">
        <v>556</v>
      </c>
      <c r="B196" s="65" t="s">
        <v>461</v>
      </c>
      <c r="C196" s="66" t="s">
        <v>1853</v>
      </c>
      <c r="D196" s="67">
        <v>2</v>
      </c>
      <c r="E196" s="68"/>
      <c r="F196" s="69">
        <v>32</v>
      </c>
      <c r="G196" s="66"/>
      <c r="H196" s="70"/>
      <c r="I196" s="71"/>
      <c r="J196" s="71"/>
      <c r="K196" s="34" t="s">
        <v>66</v>
      </c>
      <c r="L196" s="78">
        <v>196</v>
      </c>
      <c r="M196" s="78"/>
      <c r="N196" s="73"/>
      <c r="O196" s="80" t="s">
        <v>210</v>
      </c>
      <c r="P196" s="80" t="s">
        <v>196</v>
      </c>
      <c r="Q196" s="80" t="s">
        <v>803</v>
      </c>
      <c r="R196" s="80" t="s">
        <v>556</v>
      </c>
      <c r="S196" s="80" t="s">
        <v>1018</v>
      </c>
      <c r="T196" s="82" t="str">
        <f>HYPERLINK("http://www.youtube.com/channel/UCO7kLxBbcZ-F6jdssKIMfFw")</f>
        <v>http://www.youtube.com/channel/UCO7kLxBbcZ-F6jdssKIMfFw</v>
      </c>
      <c r="U196" s="80"/>
      <c r="V196" s="80" t="s">
        <v>1212</v>
      </c>
      <c r="W196" s="82" t="str">
        <f>HYPERLINK("https://www.youtube.com/watch?v=14KCckNbmvs")</f>
        <v>https://www.youtube.com/watch?v=14KCckNbmvs</v>
      </c>
      <c r="X196" s="80" t="s">
        <v>213</v>
      </c>
      <c r="Y196" s="80">
        <v>1</v>
      </c>
      <c r="Z196" s="84">
        <v>44000.830196759256</v>
      </c>
      <c r="AA196" s="84">
        <v>44000.830196759256</v>
      </c>
      <c r="AB196" s="80"/>
      <c r="AC196" s="80"/>
      <c r="AD196" s="80"/>
      <c r="AE196" s="80">
        <v>1</v>
      </c>
      <c r="AF196" s="79" t="str">
        <f>REPLACE(INDEX(GroupVertices[Group],MATCH(Edges[[#This Row],[Vertex 1]],GroupVertices[Vertex],0)),1,1,"")</f>
        <v>2</v>
      </c>
      <c r="AG196" s="79" t="str">
        <f>REPLACE(INDEX(GroupVertices[Group],MATCH(Edges[[#This Row],[Vertex 2]],GroupVertices[Vertex],0)),1,1,"")</f>
        <v>2</v>
      </c>
      <c r="AH196" s="34"/>
      <c r="AI196" s="34"/>
      <c r="AJ196" s="34"/>
      <c r="AK196" s="34"/>
      <c r="AL196" s="34"/>
      <c r="AM196" s="34"/>
      <c r="AN196" s="34"/>
      <c r="AO196" s="34"/>
      <c r="AP196" s="34"/>
    </row>
    <row r="197" spans="1:42" ht="15">
      <c r="A197" s="65" t="s">
        <v>461</v>
      </c>
      <c r="B197" s="65" t="s">
        <v>557</v>
      </c>
      <c r="C197" s="66" t="s">
        <v>1853</v>
      </c>
      <c r="D197" s="67">
        <v>2</v>
      </c>
      <c r="E197" s="68"/>
      <c r="F197" s="69">
        <v>32</v>
      </c>
      <c r="G197" s="66"/>
      <c r="H197" s="70"/>
      <c r="I197" s="71"/>
      <c r="J197" s="71"/>
      <c r="K197" s="34" t="s">
        <v>66</v>
      </c>
      <c r="L197" s="78">
        <v>197</v>
      </c>
      <c r="M197" s="78"/>
      <c r="N197" s="73"/>
      <c r="O197" s="80" t="s">
        <v>211</v>
      </c>
      <c r="P197" s="80" t="s">
        <v>212</v>
      </c>
      <c r="Q197" s="80" t="s">
        <v>804</v>
      </c>
      <c r="R197" s="80" t="s">
        <v>461</v>
      </c>
      <c r="S197" s="80" t="s">
        <v>923</v>
      </c>
      <c r="T197" s="82" t="str">
        <f>HYPERLINK("http://www.youtube.com/channel/UCFp1vaKzpfvoGai0vE5VJ0w")</f>
        <v>http://www.youtube.com/channel/UCFp1vaKzpfvoGai0vE5VJ0w</v>
      </c>
      <c r="U197" s="80" t="s">
        <v>1146</v>
      </c>
      <c r="V197" s="80" t="s">
        <v>1212</v>
      </c>
      <c r="W197" s="82" t="str">
        <f>HYPERLINK("https://www.youtube.com/watch?v=14KCckNbmvs")</f>
        <v>https://www.youtube.com/watch?v=14KCckNbmvs</v>
      </c>
      <c r="X197" s="80" t="s">
        <v>213</v>
      </c>
      <c r="Y197" s="80">
        <v>0</v>
      </c>
      <c r="Z197" s="84">
        <v>44002.98085648148</v>
      </c>
      <c r="AA197" s="84">
        <v>44002.98085648148</v>
      </c>
      <c r="AB197" s="80" t="s">
        <v>1240</v>
      </c>
      <c r="AC197" s="80" t="s">
        <v>1255</v>
      </c>
      <c r="AD197" s="80"/>
      <c r="AE197" s="80">
        <v>1</v>
      </c>
      <c r="AF197" s="79" t="str">
        <f>REPLACE(INDEX(GroupVertices[Group],MATCH(Edges[[#This Row],[Vertex 1]],GroupVertices[Vertex],0)),1,1,"")</f>
        <v>2</v>
      </c>
      <c r="AG197" s="79" t="str">
        <f>REPLACE(INDEX(GroupVertices[Group],MATCH(Edges[[#This Row],[Vertex 2]],GroupVertices[Vertex],0)),1,1,"")</f>
        <v>2</v>
      </c>
      <c r="AH197" s="34"/>
      <c r="AI197" s="34"/>
      <c r="AJ197" s="34"/>
      <c r="AK197" s="34"/>
      <c r="AL197" s="34"/>
      <c r="AM197" s="34"/>
      <c r="AN197" s="34"/>
      <c r="AO197" s="34"/>
      <c r="AP197" s="34"/>
    </row>
    <row r="198" spans="1:42" ht="15">
      <c r="A198" s="65" t="s">
        <v>557</v>
      </c>
      <c r="B198" s="65" t="s">
        <v>461</v>
      </c>
      <c r="C198" s="66" t="s">
        <v>1853</v>
      </c>
      <c r="D198" s="67">
        <v>2</v>
      </c>
      <c r="E198" s="68"/>
      <c r="F198" s="69">
        <v>32</v>
      </c>
      <c r="G198" s="66"/>
      <c r="H198" s="70"/>
      <c r="I198" s="71"/>
      <c r="J198" s="71"/>
      <c r="K198" s="34" t="s">
        <v>66</v>
      </c>
      <c r="L198" s="78">
        <v>198</v>
      </c>
      <c r="M198" s="78"/>
      <c r="N198" s="73"/>
      <c r="O198" s="80" t="s">
        <v>210</v>
      </c>
      <c r="P198" s="80" t="s">
        <v>196</v>
      </c>
      <c r="Q198" s="80" t="s">
        <v>805</v>
      </c>
      <c r="R198" s="80" t="s">
        <v>557</v>
      </c>
      <c r="S198" s="80" t="s">
        <v>1019</v>
      </c>
      <c r="T198" s="82" t="str">
        <f>HYPERLINK("http://www.youtube.com/channel/UCFiPHO5NgaQdVggOroJP_nw")</f>
        <v>http://www.youtube.com/channel/UCFiPHO5NgaQdVggOroJP_nw</v>
      </c>
      <c r="U198" s="80"/>
      <c r="V198" s="80" t="s">
        <v>1212</v>
      </c>
      <c r="W198" s="82" t="str">
        <f>HYPERLINK("https://www.youtube.com/watch?v=14KCckNbmvs")</f>
        <v>https://www.youtube.com/watch?v=14KCckNbmvs</v>
      </c>
      <c r="X198" s="80" t="s">
        <v>213</v>
      </c>
      <c r="Y198" s="80">
        <v>5</v>
      </c>
      <c r="Z198" s="84">
        <v>44000.855625</v>
      </c>
      <c r="AA198" s="84">
        <v>44000.855625</v>
      </c>
      <c r="AB198" s="80"/>
      <c r="AC198" s="80"/>
      <c r="AD198" s="80"/>
      <c r="AE198" s="80">
        <v>1</v>
      </c>
      <c r="AF198" s="79" t="str">
        <f>REPLACE(INDEX(GroupVertices[Group],MATCH(Edges[[#This Row],[Vertex 1]],GroupVertices[Vertex],0)),1,1,"")</f>
        <v>2</v>
      </c>
      <c r="AG198" s="79" t="str">
        <f>REPLACE(INDEX(GroupVertices[Group],MATCH(Edges[[#This Row],[Vertex 2]],GroupVertices[Vertex],0)),1,1,"")</f>
        <v>2</v>
      </c>
      <c r="AH198" s="34"/>
      <c r="AI198" s="34"/>
      <c r="AJ198" s="34"/>
      <c r="AK198" s="34"/>
      <c r="AL198" s="34"/>
      <c r="AM198" s="34"/>
      <c r="AN198" s="34"/>
      <c r="AO198" s="34"/>
      <c r="AP198" s="34"/>
    </row>
    <row r="199" spans="1:42" ht="15">
      <c r="A199" s="65" t="s">
        <v>461</v>
      </c>
      <c r="B199" s="65" t="s">
        <v>558</v>
      </c>
      <c r="C199" s="66" t="s">
        <v>1853</v>
      </c>
      <c r="D199" s="67">
        <v>2</v>
      </c>
      <c r="E199" s="68"/>
      <c r="F199" s="69">
        <v>32</v>
      </c>
      <c r="G199" s="66"/>
      <c r="H199" s="70"/>
      <c r="I199" s="71"/>
      <c r="J199" s="71"/>
      <c r="K199" s="34" t="s">
        <v>66</v>
      </c>
      <c r="L199" s="78">
        <v>199</v>
      </c>
      <c r="M199" s="78"/>
      <c r="N199" s="73"/>
      <c r="O199" s="80" t="s">
        <v>211</v>
      </c>
      <c r="P199" s="80" t="s">
        <v>212</v>
      </c>
      <c r="Q199" s="80" t="s">
        <v>806</v>
      </c>
      <c r="R199" s="80" t="s">
        <v>461</v>
      </c>
      <c r="S199" s="80" t="s">
        <v>923</v>
      </c>
      <c r="T199" s="82" t="str">
        <f>HYPERLINK("http://www.youtube.com/channel/UCFp1vaKzpfvoGai0vE5VJ0w")</f>
        <v>http://www.youtube.com/channel/UCFp1vaKzpfvoGai0vE5VJ0w</v>
      </c>
      <c r="U199" s="80" t="s">
        <v>1147</v>
      </c>
      <c r="V199" s="80" t="s">
        <v>1212</v>
      </c>
      <c r="W199" s="82" t="str">
        <f>HYPERLINK("https://www.youtube.com/watch?v=14KCckNbmvs")</f>
        <v>https://www.youtube.com/watch?v=14KCckNbmvs</v>
      </c>
      <c r="X199" s="80" t="s">
        <v>213</v>
      </c>
      <c r="Y199" s="80">
        <v>0</v>
      </c>
      <c r="Z199" s="84">
        <v>44002.9796412037</v>
      </c>
      <c r="AA199" s="84">
        <v>44002.9796412037</v>
      </c>
      <c r="AB199" s="80"/>
      <c r="AC199" s="80"/>
      <c r="AD199" s="80"/>
      <c r="AE199" s="80">
        <v>1</v>
      </c>
      <c r="AF199" s="79" t="str">
        <f>REPLACE(INDEX(GroupVertices[Group],MATCH(Edges[[#This Row],[Vertex 1]],GroupVertices[Vertex],0)),1,1,"")</f>
        <v>2</v>
      </c>
      <c r="AG199" s="79" t="str">
        <f>REPLACE(INDEX(GroupVertices[Group],MATCH(Edges[[#This Row],[Vertex 2]],GroupVertices[Vertex],0)),1,1,"")</f>
        <v>2</v>
      </c>
      <c r="AH199" s="34"/>
      <c r="AI199" s="34"/>
      <c r="AJ199" s="34"/>
      <c r="AK199" s="34"/>
      <c r="AL199" s="34"/>
      <c r="AM199" s="34"/>
      <c r="AN199" s="34"/>
      <c r="AO199" s="34"/>
      <c r="AP199" s="34"/>
    </row>
    <row r="200" spans="1:42" ht="15">
      <c r="A200" s="65" t="s">
        <v>558</v>
      </c>
      <c r="B200" s="65" t="s">
        <v>461</v>
      </c>
      <c r="C200" s="66" t="s">
        <v>1853</v>
      </c>
      <c r="D200" s="67">
        <v>2</v>
      </c>
      <c r="E200" s="68"/>
      <c r="F200" s="69">
        <v>32</v>
      </c>
      <c r="G200" s="66"/>
      <c r="H200" s="70"/>
      <c r="I200" s="71"/>
      <c r="J200" s="71"/>
      <c r="K200" s="34" t="s">
        <v>66</v>
      </c>
      <c r="L200" s="78">
        <v>200</v>
      </c>
      <c r="M200" s="78"/>
      <c r="N200" s="73"/>
      <c r="O200" s="80" t="s">
        <v>210</v>
      </c>
      <c r="P200" s="80" t="s">
        <v>196</v>
      </c>
      <c r="Q200" s="80" t="s">
        <v>807</v>
      </c>
      <c r="R200" s="80" t="s">
        <v>558</v>
      </c>
      <c r="S200" s="80" t="s">
        <v>1020</v>
      </c>
      <c r="T200" s="82" t="str">
        <f>HYPERLINK("http://www.youtube.com/channel/UCQSAWg2c-QMRHUyywmilREQ")</f>
        <v>http://www.youtube.com/channel/UCQSAWg2c-QMRHUyywmilREQ</v>
      </c>
      <c r="U200" s="80"/>
      <c r="V200" s="80" t="s">
        <v>1212</v>
      </c>
      <c r="W200" s="82" t="str">
        <f>HYPERLINK("https://www.youtube.com/watch?v=14KCckNbmvs")</f>
        <v>https://www.youtube.com/watch?v=14KCckNbmvs</v>
      </c>
      <c r="X200" s="80" t="s">
        <v>213</v>
      </c>
      <c r="Y200" s="80">
        <v>1</v>
      </c>
      <c r="Z200" s="84">
        <v>44001.12849537037</v>
      </c>
      <c r="AA200" s="84">
        <v>44001.12849537037</v>
      </c>
      <c r="AB200" s="80" t="s">
        <v>1241</v>
      </c>
      <c r="AC200" s="80" t="s">
        <v>1256</v>
      </c>
      <c r="AD200" s="80"/>
      <c r="AE200" s="80">
        <v>1</v>
      </c>
      <c r="AF200" s="79" t="str">
        <f>REPLACE(INDEX(GroupVertices[Group],MATCH(Edges[[#This Row],[Vertex 1]],GroupVertices[Vertex],0)),1,1,"")</f>
        <v>2</v>
      </c>
      <c r="AG200" s="79" t="str">
        <f>REPLACE(INDEX(GroupVertices[Group],MATCH(Edges[[#This Row],[Vertex 2]],GroupVertices[Vertex],0)),1,1,"")</f>
        <v>2</v>
      </c>
      <c r="AH200" s="34"/>
      <c r="AI200" s="34"/>
      <c r="AJ200" s="34"/>
      <c r="AK200" s="34"/>
      <c r="AL200" s="34"/>
      <c r="AM200" s="34"/>
      <c r="AN200" s="34"/>
      <c r="AO200" s="34"/>
      <c r="AP200" s="34"/>
    </row>
    <row r="201" spans="1:42" ht="15">
      <c r="A201" s="65" t="s">
        <v>461</v>
      </c>
      <c r="B201" s="65" t="s">
        <v>559</v>
      </c>
      <c r="C201" s="66" t="s">
        <v>1853</v>
      </c>
      <c r="D201" s="67">
        <v>2</v>
      </c>
      <c r="E201" s="68"/>
      <c r="F201" s="69">
        <v>32</v>
      </c>
      <c r="G201" s="66"/>
      <c r="H201" s="70"/>
      <c r="I201" s="71"/>
      <c r="J201" s="71"/>
      <c r="K201" s="34" t="s">
        <v>66</v>
      </c>
      <c r="L201" s="78">
        <v>201</v>
      </c>
      <c r="M201" s="78"/>
      <c r="N201" s="73"/>
      <c r="O201" s="80" t="s">
        <v>211</v>
      </c>
      <c r="P201" s="80" t="s">
        <v>212</v>
      </c>
      <c r="Q201" s="80" t="s">
        <v>808</v>
      </c>
      <c r="R201" s="80" t="s">
        <v>461</v>
      </c>
      <c r="S201" s="80" t="s">
        <v>923</v>
      </c>
      <c r="T201" s="82" t="str">
        <f>HYPERLINK("http://www.youtube.com/channel/UCFp1vaKzpfvoGai0vE5VJ0w")</f>
        <v>http://www.youtube.com/channel/UCFp1vaKzpfvoGai0vE5VJ0w</v>
      </c>
      <c r="U201" s="80" t="s">
        <v>1148</v>
      </c>
      <c r="V201" s="80" t="s">
        <v>1212</v>
      </c>
      <c r="W201" s="82" t="str">
        <f>HYPERLINK("https://www.youtube.com/watch?v=14KCckNbmvs")</f>
        <v>https://www.youtube.com/watch?v=14KCckNbmvs</v>
      </c>
      <c r="X201" s="80" t="s">
        <v>213</v>
      </c>
      <c r="Y201" s="80">
        <v>0</v>
      </c>
      <c r="Z201" s="84">
        <v>44002.979375</v>
      </c>
      <c r="AA201" s="84">
        <v>44002.979375</v>
      </c>
      <c r="AB201" s="80"/>
      <c r="AC201" s="80"/>
      <c r="AD201" s="80"/>
      <c r="AE201" s="80">
        <v>1</v>
      </c>
      <c r="AF201" s="79" t="str">
        <f>REPLACE(INDEX(GroupVertices[Group],MATCH(Edges[[#This Row],[Vertex 1]],GroupVertices[Vertex],0)),1,1,"")</f>
        <v>2</v>
      </c>
      <c r="AG201" s="79" t="str">
        <f>REPLACE(INDEX(GroupVertices[Group],MATCH(Edges[[#This Row],[Vertex 2]],GroupVertices[Vertex],0)),1,1,"")</f>
        <v>2</v>
      </c>
      <c r="AH201" s="34"/>
      <c r="AI201" s="34"/>
      <c r="AJ201" s="34"/>
      <c r="AK201" s="34"/>
      <c r="AL201" s="34"/>
      <c r="AM201" s="34"/>
      <c r="AN201" s="34"/>
      <c r="AO201" s="34"/>
      <c r="AP201" s="34"/>
    </row>
    <row r="202" spans="1:42" ht="15">
      <c r="A202" s="65" t="s">
        <v>559</v>
      </c>
      <c r="B202" s="65" t="s">
        <v>461</v>
      </c>
      <c r="C202" s="66" t="s">
        <v>1853</v>
      </c>
      <c r="D202" s="67">
        <v>2</v>
      </c>
      <c r="E202" s="68"/>
      <c r="F202" s="69">
        <v>32</v>
      </c>
      <c r="G202" s="66"/>
      <c r="H202" s="70"/>
      <c r="I202" s="71"/>
      <c r="J202" s="71"/>
      <c r="K202" s="34" t="s">
        <v>66</v>
      </c>
      <c r="L202" s="78">
        <v>202</v>
      </c>
      <c r="M202" s="78"/>
      <c r="N202" s="73"/>
      <c r="O202" s="80" t="s">
        <v>210</v>
      </c>
      <c r="P202" s="80" t="s">
        <v>196</v>
      </c>
      <c r="Q202" s="80" t="s">
        <v>809</v>
      </c>
      <c r="R202" s="80" t="s">
        <v>559</v>
      </c>
      <c r="S202" s="80" t="s">
        <v>1021</v>
      </c>
      <c r="T202" s="82" t="str">
        <f>HYPERLINK("http://www.youtube.com/channel/UCtlTqmbJidEUZFkxHptY1FA")</f>
        <v>http://www.youtube.com/channel/UCtlTqmbJidEUZFkxHptY1FA</v>
      </c>
      <c r="U202" s="80"/>
      <c r="V202" s="80" t="s">
        <v>1212</v>
      </c>
      <c r="W202" s="82" t="str">
        <f>HYPERLINK("https://www.youtube.com/watch?v=14KCckNbmvs")</f>
        <v>https://www.youtube.com/watch?v=14KCckNbmvs</v>
      </c>
      <c r="X202" s="80" t="s">
        <v>213</v>
      </c>
      <c r="Y202" s="80">
        <v>7</v>
      </c>
      <c r="Z202" s="84">
        <v>44001.1721412037</v>
      </c>
      <c r="AA202" s="84">
        <v>44001.1721412037</v>
      </c>
      <c r="AB202" s="80"/>
      <c r="AC202" s="80"/>
      <c r="AD202" s="80"/>
      <c r="AE202" s="80">
        <v>1</v>
      </c>
      <c r="AF202" s="79" t="str">
        <f>REPLACE(INDEX(GroupVertices[Group],MATCH(Edges[[#This Row],[Vertex 1]],GroupVertices[Vertex],0)),1,1,"")</f>
        <v>2</v>
      </c>
      <c r="AG202" s="79" t="str">
        <f>REPLACE(INDEX(GroupVertices[Group],MATCH(Edges[[#This Row],[Vertex 2]],GroupVertices[Vertex],0)),1,1,"")</f>
        <v>2</v>
      </c>
      <c r="AH202" s="34"/>
      <c r="AI202" s="34"/>
      <c r="AJ202" s="34"/>
      <c r="AK202" s="34"/>
      <c r="AL202" s="34"/>
      <c r="AM202" s="34"/>
      <c r="AN202" s="34"/>
      <c r="AO202" s="34"/>
      <c r="AP202" s="34"/>
    </row>
    <row r="203" spans="1:42" ht="15">
      <c r="A203" s="65" t="s">
        <v>461</v>
      </c>
      <c r="B203" s="65" t="s">
        <v>560</v>
      </c>
      <c r="C203" s="66" t="s">
        <v>1853</v>
      </c>
      <c r="D203" s="67">
        <v>2</v>
      </c>
      <c r="E203" s="68"/>
      <c r="F203" s="69">
        <v>32</v>
      </c>
      <c r="G203" s="66"/>
      <c r="H203" s="70"/>
      <c r="I203" s="71"/>
      <c r="J203" s="71"/>
      <c r="K203" s="34" t="s">
        <v>66</v>
      </c>
      <c r="L203" s="78">
        <v>203</v>
      </c>
      <c r="M203" s="78"/>
      <c r="N203" s="73"/>
      <c r="O203" s="80" t="s">
        <v>211</v>
      </c>
      <c r="P203" s="80" t="s">
        <v>212</v>
      </c>
      <c r="Q203" s="80" t="s">
        <v>810</v>
      </c>
      <c r="R203" s="80" t="s">
        <v>461</v>
      </c>
      <c r="S203" s="80" t="s">
        <v>923</v>
      </c>
      <c r="T203" s="82" t="str">
        <f>HYPERLINK("http://www.youtube.com/channel/UCFp1vaKzpfvoGai0vE5VJ0w")</f>
        <v>http://www.youtube.com/channel/UCFp1vaKzpfvoGai0vE5VJ0w</v>
      </c>
      <c r="U203" s="80" t="s">
        <v>1149</v>
      </c>
      <c r="V203" s="80" t="s">
        <v>1212</v>
      </c>
      <c r="W203" s="82" t="str">
        <f>HYPERLINK("https://www.youtube.com/watch?v=14KCckNbmvs")</f>
        <v>https://www.youtube.com/watch?v=14KCckNbmvs</v>
      </c>
      <c r="X203" s="80" t="s">
        <v>213</v>
      </c>
      <c r="Y203" s="80">
        <v>0</v>
      </c>
      <c r="Z203" s="84">
        <v>44002.97699074074</v>
      </c>
      <c r="AA203" s="84">
        <v>44002.97699074074</v>
      </c>
      <c r="AB203" s="80"/>
      <c r="AC203" s="80"/>
      <c r="AD203" s="80"/>
      <c r="AE203" s="80">
        <v>1</v>
      </c>
      <c r="AF203" s="79" t="str">
        <f>REPLACE(INDEX(GroupVertices[Group],MATCH(Edges[[#This Row],[Vertex 1]],GroupVertices[Vertex],0)),1,1,"")</f>
        <v>2</v>
      </c>
      <c r="AG203" s="79" t="str">
        <f>REPLACE(INDEX(GroupVertices[Group],MATCH(Edges[[#This Row],[Vertex 2]],GroupVertices[Vertex],0)),1,1,"")</f>
        <v>2</v>
      </c>
      <c r="AH203" s="34"/>
      <c r="AI203" s="34"/>
      <c r="AJ203" s="34"/>
      <c r="AK203" s="34"/>
      <c r="AL203" s="34"/>
      <c r="AM203" s="34"/>
      <c r="AN203" s="34"/>
      <c r="AO203" s="34"/>
      <c r="AP203" s="34"/>
    </row>
    <row r="204" spans="1:42" ht="15">
      <c r="A204" s="65" t="s">
        <v>560</v>
      </c>
      <c r="B204" s="65" t="s">
        <v>461</v>
      </c>
      <c r="C204" s="66" t="s">
        <v>1853</v>
      </c>
      <c r="D204" s="67">
        <v>2</v>
      </c>
      <c r="E204" s="68"/>
      <c r="F204" s="69">
        <v>32</v>
      </c>
      <c r="G204" s="66"/>
      <c r="H204" s="70"/>
      <c r="I204" s="71"/>
      <c r="J204" s="71"/>
      <c r="K204" s="34" t="s">
        <v>66</v>
      </c>
      <c r="L204" s="78">
        <v>204</v>
      </c>
      <c r="M204" s="78"/>
      <c r="N204" s="73"/>
      <c r="O204" s="80" t="s">
        <v>210</v>
      </c>
      <c r="P204" s="80" t="s">
        <v>196</v>
      </c>
      <c r="Q204" s="80" t="s">
        <v>811</v>
      </c>
      <c r="R204" s="80" t="s">
        <v>560</v>
      </c>
      <c r="S204" s="80" t="s">
        <v>1022</v>
      </c>
      <c r="T204" s="82" t="str">
        <f>HYPERLINK("http://www.youtube.com/channel/UCYyKfXHo6Jho0ICP9TZFZRg")</f>
        <v>http://www.youtube.com/channel/UCYyKfXHo6Jho0ICP9TZFZRg</v>
      </c>
      <c r="U204" s="80"/>
      <c r="V204" s="80" t="s">
        <v>1212</v>
      </c>
      <c r="W204" s="82" t="str">
        <f>HYPERLINK("https://www.youtube.com/watch?v=14KCckNbmvs")</f>
        <v>https://www.youtube.com/watch?v=14KCckNbmvs</v>
      </c>
      <c r="X204" s="80" t="s">
        <v>213</v>
      </c>
      <c r="Y204" s="80">
        <v>1</v>
      </c>
      <c r="Z204" s="84">
        <v>44001.75640046296</v>
      </c>
      <c r="AA204" s="84">
        <v>44001.75640046296</v>
      </c>
      <c r="AB204" s="80"/>
      <c r="AC204" s="80"/>
      <c r="AD204" s="80"/>
      <c r="AE204" s="80">
        <v>1</v>
      </c>
      <c r="AF204" s="79" t="str">
        <f>REPLACE(INDEX(GroupVertices[Group],MATCH(Edges[[#This Row],[Vertex 1]],GroupVertices[Vertex],0)),1,1,"")</f>
        <v>2</v>
      </c>
      <c r="AG204" s="79" t="str">
        <f>REPLACE(INDEX(GroupVertices[Group],MATCH(Edges[[#This Row],[Vertex 2]],GroupVertices[Vertex],0)),1,1,"")</f>
        <v>2</v>
      </c>
      <c r="AH204" s="34"/>
      <c r="AI204" s="34"/>
      <c r="AJ204" s="34"/>
      <c r="AK204" s="34"/>
      <c r="AL204" s="34"/>
      <c r="AM204" s="34"/>
      <c r="AN204" s="34"/>
      <c r="AO204" s="34"/>
      <c r="AP204" s="34"/>
    </row>
    <row r="205" spans="1:42" ht="15">
      <c r="A205" s="65" t="s">
        <v>461</v>
      </c>
      <c r="B205" s="65" t="s">
        <v>561</v>
      </c>
      <c r="C205" s="66" t="s">
        <v>1853</v>
      </c>
      <c r="D205" s="67">
        <v>2</v>
      </c>
      <c r="E205" s="68"/>
      <c r="F205" s="69">
        <v>32</v>
      </c>
      <c r="G205" s="66"/>
      <c r="H205" s="70"/>
      <c r="I205" s="71"/>
      <c r="J205" s="71"/>
      <c r="K205" s="34" t="s">
        <v>66</v>
      </c>
      <c r="L205" s="78">
        <v>205</v>
      </c>
      <c r="M205" s="78"/>
      <c r="N205" s="73"/>
      <c r="O205" s="80" t="s">
        <v>211</v>
      </c>
      <c r="P205" s="80" t="s">
        <v>212</v>
      </c>
      <c r="Q205" s="80" t="s">
        <v>812</v>
      </c>
      <c r="R205" s="80" t="s">
        <v>461</v>
      </c>
      <c r="S205" s="80" t="s">
        <v>923</v>
      </c>
      <c r="T205" s="82" t="str">
        <f>HYPERLINK("http://www.youtube.com/channel/UCFp1vaKzpfvoGai0vE5VJ0w")</f>
        <v>http://www.youtube.com/channel/UCFp1vaKzpfvoGai0vE5VJ0w</v>
      </c>
      <c r="U205" s="80" t="s">
        <v>1150</v>
      </c>
      <c r="V205" s="80" t="s">
        <v>1212</v>
      </c>
      <c r="W205" s="82" t="str">
        <f>HYPERLINK("https://www.youtube.com/watch?v=14KCckNbmvs")</f>
        <v>https://www.youtube.com/watch?v=14KCckNbmvs</v>
      </c>
      <c r="X205" s="80" t="s">
        <v>213</v>
      </c>
      <c r="Y205" s="80">
        <v>0</v>
      </c>
      <c r="Z205" s="84">
        <v>44002.97672453704</v>
      </c>
      <c r="AA205" s="84">
        <v>44002.97672453704</v>
      </c>
      <c r="AB205" s="80"/>
      <c r="AC205" s="80"/>
      <c r="AD205" s="80"/>
      <c r="AE205" s="80">
        <v>1</v>
      </c>
      <c r="AF205" s="79" t="str">
        <f>REPLACE(INDEX(GroupVertices[Group],MATCH(Edges[[#This Row],[Vertex 1]],GroupVertices[Vertex],0)),1,1,"")</f>
        <v>2</v>
      </c>
      <c r="AG205" s="79" t="str">
        <f>REPLACE(INDEX(GroupVertices[Group],MATCH(Edges[[#This Row],[Vertex 2]],GroupVertices[Vertex],0)),1,1,"")</f>
        <v>2</v>
      </c>
      <c r="AH205" s="34"/>
      <c r="AI205" s="34"/>
      <c r="AJ205" s="34"/>
      <c r="AK205" s="34"/>
      <c r="AL205" s="34"/>
      <c r="AM205" s="34"/>
      <c r="AN205" s="34"/>
      <c r="AO205" s="34"/>
      <c r="AP205" s="34"/>
    </row>
    <row r="206" spans="1:42" ht="15">
      <c r="A206" s="65" t="s">
        <v>561</v>
      </c>
      <c r="B206" s="65" t="s">
        <v>461</v>
      </c>
      <c r="C206" s="66" t="s">
        <v>1853</v>
      </c>
      <c r="D206" s="67">
        <v>2</v>
      </c>
      <c r="E206" s="68"/>
      <c r="F206" s="69">
        <v>32</v>
      </c>
      <c r="G206" s="66"/>
      <c r="H206" s="70"/>
      <c r="I206" s="71"/>
      <c r="J206" s="71"/>
      <c r="K206" s="34" t="s">
        <v>66</v>
      </c>
      <c r="L206" s="78">
        <v>206</v>
      </c>
      <c r="M206" s="78"/>
      <c r="N206" s="73"/>
      <c r="O206" s="80" t="s">
        <v>210</v>
      </c>
      <c r="P206" s="80" t="s">
        <v>196</v>
      </c>
      <c r="Q206" s="80" t="s">
        <v>813</v>
      </c>
      <c r="R206" s="80" t="s">
        <v>561</v>
      </c>
      <c r="S206" s="80" t="s">
        <v>1023</v>
      </c>
      <c r="T206" s="82" t="str">
        <f>HYPERLINK("http://www.youtube.com/channel/UCHVkfQ6eBHYzyRh0LLjpNpg")</f>
        <v>http://www.youtube.com/channel/UCHVkfQ6eBHYzyRh0LLjpNpg</v>
      </c>
      <c r="U206" s="80"/>
      <c r="V206" s="80" t="s">
        <v>1212</v>
      </c>
      <c r="W206" s="82" t="str">
        <f>HYPERLINK("https://www.youtube.com/watch?v=14KCckNbmvs")</f>
        <v>https://www.youtube.com/watch?v=14KCckNbmvs</v>
      </c>
      <c r="X206" s="80" t="s">
        <v>213</v>
      </c>
      <c r="Y206" s="80">
        <v>1</v>
      </c>
      <c r="Z206" s="84">
        <v>44001.856875</v>
      </c>
      <c r="AA206" s="84">
        <v>44001.856875</v>
      </c>
      <c r="AB206" s="80"/>
      <c r="AC206" s="80"/>
      <c r="AD206" s="80"/>
      <c r="AE206" s="80">
        <v>1</v>
      </c>
      <c r="AF206" s="79" t="str">
        <f>REPLACE(INDEX(GroupVertices[Group],MATCH(Edges[[#This Row],[Vertex 1]],GroupVertices[Vertex],0)),1,1,"")</f>
        <v>2</v>
      </c>
      <c r="AG206" s="79" t="str">
        <f>REPLACE(INDEX(GroupVertices[Group],MATCH(Edges[[#This Row],[Vertex 2]],GroupVertices[Vertex],0)),1,1,"")</f>
        <v>2</v>
      </c>
      <c r="AH206" s="34"/>
      <c r="AI206" s="34"/>
      <c r="AJ206" s="34"/>
      <c r="AK206" s="34"/>
      <c r="AL206" s="34"/>
      <c r="AM206" s="34"/>
      <c r="AN206" s="34"/>
      <c r="AO206" s="34"/>
      <c r="AP206" s="34"/>
    </row>
    <row r="207" spans="1:42" ht="15">
      <c r="A207" s="65" t="s">
        <v>461</v>
      </c>
      <c r="B207" s="65" t="s">
        <v>562</v>
      </c>
      <c r="C207" s="66" t="s">
        <v>1853</v>
      </c>
      <c r="D207" s="67">
        <v>2</v>
      </c>
      <c r="E207" s="68"/>
      <c r="F207" s="69">
        <v>32</v>
      </c>
      <c r="G207" s="66"/>
      <c r="H207" s="70"/>
      <c r="I207" s="71"/>
      <c r="J207" s="71"/>
      <c r="K207" s="34" t="s">
        <v>66</v>
      </c>
      <c r="L207" s="78">
        <v>207</v>
      </c>
      <c r="M207" s="78"/>
      <c r="N207" s="73"/>
      <c r="O207" s="80" t="s">
        <v>211</v>
      </c>
      <c r="P207" s="80" t="s">
        <v>212</v>
      </c>
      <c r="Q207" s="80" t="s">
        <v>814</v>
      </c>
      <c r="R207" s="80" t="s">
        <v>461</v>
      </c>
      <c r="S207" s="80" t="s">
        <v>923</v>
      </c>
      <c r="T207" s="82" t="str">
        <f>HYPERLINK("http://www.youtube.com/channel/UCFp1vaKzpfvoGai0vE5VJ0w")</f>
        <v>http://www.youtube.com/channel/UCFp1vaKzpfvoGai0vE5VJ0w</v>
      </c>
      <c r="U207" s="80" t="s">
        <v>1151</v>
      </c>
      <c r="V207" s="80" t="s">
        <v>1212</v>
      </c>
      <c r="W207" s="82" t="str">
        <f>HYPERLINK("https://www.youtube.com/watch?v=14KCckNbmvs")</f>
        <v>https://www.youtube.com/watch?v=14KCckNbmvs</v>
      </c>
      <c r="X207" s="80" t="s">
        <v>213</v>
      </c>
      <c r="Y207" s="80">
        <v>0</v>
      </c>
      <c r="Z207" s="84">
        <v>44002.9759837963</v>
      </c>
      <c r="AA207" s="84">
        <v>44002.9759837963</v>
      </c>
      <c r="AB207" s="80"/>
      <c r="AC207" s="80"/>
      <c r="AD207" s="80"/>
      <c r="AE207" s="80">
        <v>1</v>
      </c>
      <c r="AF207" s="79" t="str">
        <f>REPLACE(INDEX(GroupVertices[Group],MATCH(Edges[[#This Row],[Vertex 1]],GroupVertices[Vertex],0)),1,1,"")</f>
        <v>2</v>
      </c>
      <c r="AG207" s="79" t="str">
        <f>REPLACE(INDEX(GroupVertices[Group],MATCH(Edges[[#This Row],[Vertex 2]],GroupVertices[Vertex],0)),1,1,"")</f>
        <v>2</v>
      </c>
      <c r="AH207" s="34"/>
      <c r="AI207" s="34"/>
      <c r="AJ207" s="34"/>
      <c r="AK207" s="34"/>
      <c r="AL207" s="34"/>
      <c r="AM207" s="34"/>
      <c r="AN207" s="34"/>
      <c r="AO207" s="34"/>
      <c r="AP207" s="34"/>
    </row>
    <row r="208" spans="1:42" ht="15">
      <c r="A208" s="65" t="s">
        <v>562</v>
      </c>
      <c r="B208" s="65" t="s">
        <v>461</v>
      </c>
      <c r="C208" s="66" t="s">
        <v>1853</v>
      </c>
      <c r="D208" s="67">
        <v>2</v>
      </c>
      <c r="E208" s="68"/>
      <c r="F208" s="69">
        <v>32</v>
      </c>
      <c r="G208" s="66"/>
      <c r="H208" s="70"/>
      <c r="I208" s="71"/>
      <c r="J208" s="71"/>
      <c r="K208" s="34" t="s">
        <v>66</v>
      </c>
      <c r="L208" s="78">
        <v>208</v>
      </c>
      <c r="M208" s="78"/>
      <c r="N208" s="73"/>
      <c r="O208" s="80" t="s">
        <v>210</v>
      </c>
      <c r="P208" s="80" t="s">
        <v>196</v>
      </c>
      <c r="Q208" s="80" t="s">
        <v>815</v>
      </c>
      <c r="R208" s="80" t="s">
        <v>562</v>
      </c>
      <c r="S208" s="80" t="s">
        <v>1024</v>
      </c>
      <c r="T208" s="82" t="str">
        <f>HYPERLINK("http://www.youtube.com/channel/UCIOXfx8ziM1LrWylHIsrN0Q")</f>
        <v>http://www.youtube.com/channel/UCIOXfx8ziM1LrWylHIsrN0Q</v>
      </c>
      <c r="U208" s="80"/>
      <c r="V208" s="80" t="s">
        <v>1212</v>
      </c>
      <c r="W208" s="82" t="str">
        <f>HYPERLINK("https://www.youtube.com/watch?v=14KCckNbmvs")</f>
        <v>https://www.youtube.com/watch?v=14KCckNbmvs</v>
      </c>
      <c r="X208" s="80" t="s">
        <v>213</v>
      </c>
      <c r="Y208" s="80">
        <v>0</v>
      </c>
      <c r="Z208" s="84">
        <v>44002.19975694444</v>
      </c>
      <c r="AA208" s="84">
        <v>44002.19975694444</v>
      </c>
      <c r="AB208" s="80"/>
      <c r="AC208" s="80"/>
      <c r="AD208" s="80"/>
      <c r="AE208" s="80">
        <v>1</v>
      </c>
      <c r="AF208" s="79" t="str">
        <f>REPLACE(INDEX(GroupVertices[Group],MATCH(Edges[[#This Row],[Vertex 1]],GroupVertices[Vertex],0)),1,1,"")</f>
        <v>2</v>
      </c>
      <c r="AG208" s="79" t="str">
        <f>REPLACE(INDEX(GroupVertices[Group],MATCH(Edges[[#This Row],[Vertex 2]],GroupVertices[Vertex],0)),1,1,"")</f>
        <v>2</v>
      </c>
      <c r="AH208" s="34"/>
      <c r="AI208" s="34"/>
      <c r="AJ208" s="34"/>
      <c r="AK208" s="34"/>
      <c r="AL208" s="34"/>
      <c r="AM208" s="34"/>
      <c r="AN208" s="34"/>
      <c r="AO208" s="34"/>
      <c r="AP208" s="34"/>
    </row>
    <row r="209" spans="1:42" ht="15">
      <c r="A209" s="65" t="s">
        <v>563</v>
      </c>
      <c r="B209" s="65" t="s">
        <v>564</v>
      </c>
      <c r="C209" s="66" t="s">
        <v>1853</v>
      </c>
      <c r="D209" s="67">
        <v>2</v>
      </c>
      <c r="E209" s="68"/>
      <c r="F209" s="69">
        <v>32</v>
      </c>
      <c r="G209" s="66"/>
      <c r="H209" s="70"/>
      <c r="I209" s="71"/>
      <c r="J209" s="71"/>
      <c r="K209" s="34" t="s">
        <v>66</v>
      </c>
      <c r="L209" s="78">
        <v>209</v>
      </c>
      <c r="M209" s="78"/>
      <c r="N209" s="73"/>
      <c r="O209" s="80" t="s">
        <v>211</v>
      </c>
      <c r="P209" s="80" t="s">
        <v>212</v>
      </c>
      <c r="Q209" s="80" t="s">
        <v>816</v>
      </c>
      <c r="R209" s="80" t="s">
        <v>563</v>
      </c>
      <c r="S209" s="80" t="s">
        <v>1025</v>
      </c>
      <c r="T209" s="82" t="str">
        <f>HYPERLINK("http://www.youtube.com/channel/UCH4mvHhRxr_WHPjun9cr5PA")</f>
        <v>http://www.youtube.com/channel/UCH4mvHhRxr_WHPjun9cr5PA</v>
      </c>
      <c r="U209" s="80" t="s">
        <v>1152</v>
      </c>
      <c r="V209" s="80" t="s">
        <v>1213</v>
      </c>
      <c r="W209" s="82" t="str">
        <f>HYPERLINK("https://www.youtube.com/watch?v=C9afvnws3KE")</f>
        <v>https://www.youtube.com/watch?v=C9afvnws3KE</v>
      </c>
      <c r="X209" s="80" t="s">
        <v>213</v>
      </c>
      <c r="Y209" s="80">
        <v>1</v>
      </c>
      <c r="Z209" s="84">
        <v>44000.78965277778</v>
      </c>
      <c r="AA209" s="84">
        <v>44000.79686342592</v>
      </c>
      <c r="AB209" s="80"/>
      <c r="AC209" s="80"/>
      <c r="AD209" s="80"/>
      <c r="AE209" s="80">
        <v>1</v>
      </c>
      <c r="AF209" s="79" t="str">
        <f>REPLACE(INDEX(GroupVertices[Group],MATCH(Edges[[#This Row],[Vertex 1]],GroupVertices[Vertex],0)),1,1,"")</f>
        <v>18</v>
      </c>
      <c r="AG209" s="79" t="str">
        <f>REPLACE(INDEX(GroupVertices[Group],MATCH(Edges[[#This Row],[Vertex 2]],GroupVertices[Vertex],0)),1,1,"")</f>
        <v>18</v>
      </c>
      <c r="AH209" s="34"/>
      <c r="AI209" s="34"/>
      <c r="AJ209" s="34"/>
      <c r="AK209" s="34"/>
      <c r="AL209" s="34"/>
      <c r="AM209" s="34"/>
      <c r="AN209" s="34"/>
      <c r="AO209" s="34"/>
      <c r="AP209" s="34"/>
    </row>
    <row r="210" spans="1:42" ht="15">
      <c r="A210" s="65" t="s">
        <v>564</v>
      </c>
      <c r="B210" s="65" t="s">
        <v>564</v>
      </c>
      <c r="C210" s="66" t="s">
        <v>1853</v>
      </c>
      <c r="D210" s="67">
        <v>2</v>
      </c>
      <c r="E210" s="68"/>
      <c r="F210" s="69">
        <v>32</v>
      </c>
      <c r="G210" s="66"/>
      <c r="H210" s="70"/>
      <c r="I210" s="71"/>
      <c r="J210" s="71"/>
      <c r="K210" s="34" t="s">
        <v>65</v>
      </c>
      <c r="L210" s="78">
        <v>210</v>
      </c>
      <c r="M210" s="78"/>
      <c r="N210" s="73"/>
      <c r="O210" s="80" t="s">
        <v>211</v>
      </c>
      <c r="P210" s="80" t="s">
        <v>212</v>
      </c>
      <c r="Q210" s="80" t="s">
        <v>817</v>
      </c>
      <c r="R210" s="80" t="s">
        <v>564</v>
      </c>
      <c r="S210" s="80" t="s">
        <v>1026</v>
      </c>
      <c r="T210" s="82" t="str">
        <f>HYPERLINK("http://www.youtube.com/channel/UC_JkFPAlLvXUWm4YTru40oA")</f>
        <v>http://www.youtube.com/channel/UC_JkFPAlLvXUWm4YTru40oA</v>
      </c>
      <c r="U210" s="80" t="s">
        <v>1152</v>
      </c>
      <c r="V210" s="80" t="s">
        <v>1213</v>
      </c>
      <c r="W210" s="82" t="str">
        <f>HYPERLINK("https://www.youtube.com/watch?v=C9afvnws3KE")</f>
        <v>https://www.youtube.com/watch?v=C9afvnws3KE</v>
      </c>
      <c r="X210" s="80" t="s">
        <v>213</v>
      </c>
      <c r="Y210" s="80">
        <v>1</v>
      </c>
      <c r="Z210" s="84">
        <v>44000.79143518519</v>
      </c>
      <c r="AA210" s="84">
        <v>44000.79143518519</v>
      </c>
      <c r="AB210" s="80" t="s">
        <v>1242</v>
      </c>
      <c r="AC210" s="80" t="s">
        <v>214</v>
      </c>
      <c r="AD210" s="80"/>
      <c r="AE210" s="80">
        <v>1</v>
      </c>
      <c r="AF210" s="79" t="str">
        <f>REPLACE(INDEX(GroupVertices[Group],MATCH(Edges[[#This Row],[Vertex 1]],GroupVertices[Vertex],0)),1,1,"")</f>
        <v>18</v>
      </c>
      <c r="AG210" s="79" t="str">
        <f>REPLACE(INDEX(GroupVertices[Group],MATCH(Edges[[#This Row],[Vertex 2]],GroupVertices[Vertex],0)),1,1,"")</f>
        <v>18</v>
      </c>
      <c r="AH210" s="34"/>
      <c r="AI210" s="34"/>
      <c r="AJ210" s="34"/>
      <c r="AK210" s="34"/>
      <c r="AL210" s="34"/>
      <c r="AM210" s="34"/>
      <c r="AN210" s="34"/>
      <c r="AO210" s="34"/>
      <c r="AP210" s="34"/>
    </row>
    <row r="211" spans="1:42" ht="15">
      <c r="A211" s="65" t="s">
        <v>564</v>
      </c>
      <c r="B211" s="65" t="s">
        <v>563</v>
      </c>
      <c r="C211" s="66" t="s">
        <v>1853</v>
      </c>
      <c r="D211" s="67">
        <v>2</v>
      </c>
      <c r="E211" s="68"/>
      <c r="F211" s="69">
        <v>32</v>
      </c>
      <c r="G211" s="66"/>
      <c r="H211" s="70"/>
      <c r="I211" s="71"/>
      <c r="J211" s="71"/>
      <c r="K211" s="34" t="s">
        <v>66</v>
      </c>
      <c r="L211" s="78">
        <v>211</v>
      </c>
      <c r="M211" s="78"/>
      <c r="N211" s="73"/>
      <c r="O211" s="80" t="s">
        <v>210</v>
      </c>
      <c r="P211" s="80" t="s">
        <v>196</v>
      </c>
      <c r="Q211" s="80" t="s">
        <v>818</v>
      </c>
      <c r="R211" s="80" t="s">
        <v>564</v>
      </c>
      <c r="S211" s="80" t="s">
        <v>1026</v>
      </c>
      <c r="T211" s="82" t="str">
        <f>HYPERLINK("http://www.youtube.com/channel/UC_JkFPAlLvXUWm4YTru40oA")</f>
        <v>http://www.youtube.com/channel/UC_JkFPAlLvXUWm4YTru40oA</v>
      </c>
      <c r="U211" s="80"/>
      <c r="V211" s="80" t="s">
        <v>1213</v>
      </c>
      <c r="W211" s="82" t="str">
        <f>HYPERLINK("https://www.youtube.com/watch?v=C9afvnws3KE")</f>
        <v>https://www.youtube.com/watch?v=C9afvnws3KE</v>
      </c>
      <c r="X211" s="80" t="s">
        <v>213</v>
      </c>
      <c r="Y211" s="80">
        <v>2</v>
      </c>
      <c r="Z211" s="84">
        <v>44000.787673611114</v>
      </c>
      <c r="AA211" s="84">
        <v>44000.79170138889</v>
      </c>
      <c r="AB211" s="80"/>
      <c r="AC211" s="80"/>
      <c r="AD211" s="80"/>
      <c r="AE211" s="80">
        <v>1</v>
      </c>
      <c r="AF211" s="79" t="str">
        <f>REPLACE(INDEX(GroupVertices[Group],MATCH(Edges[[#This Row],[Vertex 1]],GroupVertices[Vertex],0)),1,1,"")</f>
        <v>18</v>
      </c>
      <c r="AG211" s="79" t="str">
        <f>REPLACE(INDEX(GroupVertices[Group],MATCH(Edges[[#This Row],[Vertex 2]],GroupVertices[Vertex],0)),1,1,"")</f>
        <v>18</v>
      </c>
      <c r="AH211" s="34"/>
      <c r="AI211" s="34"/>
      <c r="AJ211" s="34"/>
      <c r="AK211" s="34"/>
      <c r="AL211" s="34"/>
      <c r="AM211" s="34"/>
      <c r="AN211" s="34"/>
      <c r="AO211" s="34"/>
      <c r="AP211" s="34"/>
    </row>
    <row r="212" spans="1:42" ht="15">
      <c r="A212" s="65" t="s">
        <v>563</v>
      </c>
      <c r="B212" s="65" t="s">
        <v>565</v>
      </c>
      <c r="C212" s="66" t="s">
        <v>1853</v>
      </c>
      <c r="D212" s="67">
        <v>2</v>
      </c>
      <c r="E212" s="68"/>
      <c r="F212" s="69">
        <v>32</v>
      </c>
      <c r="G212" s="66"/>
      <c r="H212" s="70"/>
      <c r="I212" s="71"/>
      <c r="J212" s="71"/>
      <c r="K212" s="34" t="s">
        <v>66</v>
      </c>
      <c r="L212" s="78">
        <v>212</v>
      </c>
      <c r="M212" s="78"/>
      <c r="N212" s="73"/>
      <c r="O212" s="80" t="s">
        <v>211</v>
      </c>
      <c r="P212" s="80" t="s">
        <v>212</v>
      </c>
      <c r="Q212" s="80" t="s">
        <v>819</v>
      </c>
      <c r="R212" s="80" t="s">
        <v>563</v>
      </c>
      <c r="S212" s="80" t="s">
        <v>1025</v>
      </c>
      <c r="T212" s="82" t="str">
        <f>HYPERLINK("http://www.youtube.com/channel/UCH4mvHhRxr_WHPjun9cr5PA")</f>
        <v>http://www.youtube.com/channel/UCH4mvHhRxr_WHPjun9cr5PA</v>
      </c>
      <c r="U212" s="80" t="s">
        <v>1153</v>
      </c>
      <c r="V212" s="80" t="s">
        <v>1213</v>
      </c>
      <c r="W212" s="82" t="str">
        <f>HYPERLINK("https://www.youtube.com/watch?v=C9afvnws3KE")</f>
        <v>https://www.youtube.com/watch?v=C9afvnws3KE</v>
      </c>
      <c r="X212" s="80" t="s">
        <v>213</v>
      </c>
      <c r="Y212" s="80">
        <v>1</v>
      </c>
      <c r="Z212" s="84">
        <v>44000.82519675926</v>
      </c>
      <c r="AA212" s="84">
        <v>44000.82519675926</v>
      </c>
      <c r="AB212" s="80"/>
      <c r="AC212" s="80"/>
      <c r="AD212" s="80"/>
      <c r="AE212" s="80">
        <v>1</v>
      </c>
      <c r="AF212" s="79" t="str">
        <f>REPLACE(INDEX(GroupVertices[Group],MATCH(Edges[[#This Row],[Vertex 1]],GroupVertices[Vertex],0)),1,1,"")</f>
        <v>18</v>
      </c>
      <c r="AG212" s="79" t="str">
        <f>REPLACE(INDEX(GroupVertices[Group],MATCH(Edges[[#This Row],[Vertex 2]],GroupVertices[Vertex],0)),1,1,"")</f>
        <v>18</v>
      </c>
      <c r="AH212" s="34"/>
      <c r="AI212" s="34"/>
      <c r="AJ212" s="34"/>
      <c r="AK212" s="34"/>
      <c r="AL212" s="34"/>
      <c r="AM212" s="34"/>
      <c r="AN212" s="34"/>
      <c r="AO212" s="34"/>
      <c r="AP212" s="34"/>
    </row>
    <row r="213" spans="1:42" ht="15">
      <c r="A213" s="65" t="s">
        <v>565</v>
      </c>
      <c r="B213" s="65" t="s">
        <v>563</v>
      </c>
      <c r="C213" s="66" t="s">
        <v>1853</v>
      </c>
      <c r="D213" s="67">
        <v>2</v>
      </c>
      <c r="E213" s="68"/>
      <c r="F213" s="69">
        <v>32</v>
      </c>
      <c r="G213" s="66"/>
      <c r="H213" s="70"/>
      <c r="I213" s="71"/>
      <c r="J213" s="71"/>
      <c r="K213" s="34" t="s">
        <v>66</v>
      </c>
      <c r="L213" s="78">
        <v>213</v>
      </c>
      <c r="M213" s="78"/>
      <c r="N213" s="73"/>
      <c r="O213" s="80" t="s">
        <v>210</v>
      </c>
      <c r="P213" s="80" t="s">
        <v>196</v>
      </c>
      <c r="Q213" s="80" t="s">
        <v>820</v>
      </c>
      <c r="R213" s="80" t="s">
        <v>565</v>
      </c>
      <c r="S213" s="80" t="s">
        <v>1027</v>
      </c>
      <c r="T213" s="82" t="str">
        <f>HYPERLINK("http://www.youtube.com/channel/UCcKca2PIQW-sa09aXWYL5PA")</f>
        <v>http://www.youtube.com/channel/UCcKca2PIQW-sa09aXWYL5PA</v>
      </c>
      <c r="U213" s="80"/>
      <c r="V213" s="80" t="s">
        <v>1213</v>
      </c>
      <c r="W213" s="82" t="str">
        <f>HYPERLINK("https://www.youtube.com/watch?v=C9afvnws3KE")</f>
        <v>https://www.youtube.com/watch?v=C9afvnws3KE</v>
      </c>
      <c r="X213" s="80" t="s">
        <v>213</v>
      </c>
      <c r="Y213" s="80">
        <v>2</v>
      </c>
      <c r="Z213" s="84">
        <v>44000.80887731481</v>
      </c>
      <c r="AA213" s="84">
        <v>44000.80887731481</v>
      </c>
      <c r="AB213" s="80"/>
      <c r="AC213" s="80"/>
      <c r="AD213" s="80"/>
      <c r="AE213" s="80">
        <v>1</v>
      </c>
      <c r="AF213" s="79" t="str">
        <f>REPLACE(INDEX(GroupVertices[Group],MATCH(Edges[[#This Row],[Vertex 1]],GroupVertices[Vertex],0)),1,1,"")</f>
        <v>18</v>
      </c>
      <c r="AG213" s="79" t="str">
        <f>REPLACE(INDEX(GroupVertices[Group],MATCH(Edges[[#This Row],[Vertex 2]],GroupVertices[Vertex],0)),1,1,"")</f>
        <v>18</v>
      </c>
      <c r="AH213" s="34"/>
      <c r="AI213" s="34"/>
      <c r="AJ213" s="34"/>
      <c r="AK213" s="34"/>
      <c r="AL213" s="34"/>
      <c r="AM213" s="34"/>
      <c r="AN213" s="34"/>
      <c r="AO213" s="34"/>
      <c r="AP213" s="34"/>
    </row>
    <row r="214" spans="1:42" ht="15">
      <c r="A214" s="65" t="s">
        <v>566</v>
      </c>
      <c r="B214" s="65" t="s">
        <v>567</v>
      </c>
      <c r="C214" s="66" t="s">
        <v>1853</v>
      </c>
      <c r="D214" s="67">
        <v>2</v>
      </c>
      <c r="E214" s="68"/>
      <c r="F214" s="69">
        <v>32</v>
      </c>
      <c r="G214" s="66"/>
      <c r="H214" s="70"/>
      <c r="I214" s="71"/>
      <c r="J214" s="71"/>
      <c r="K214" s="34" t="s">
        <v>65</v>
      </c>
      <c r="L214" s="78">
        <v>214</v>
      </c>
      <c r="M214" s="78"/>
      <c r="N214" s="73"/>
      <c r="O214" s="80" t="s">
        <v>211</v>
      </c>
      <c r="P214" s="80" t="s">
        <v>212</v>
      </c>
      <c r="Q214" s="80" t="s">
        <v>821</v>
      </c>
      <c r="R214" s="80" t="s">
        <v>566</v>
      </c>
      <c r="S214" s="80" t="s">
        <v>1028</v>
      </c>
      <c r="T214" s="82" t="str">
        <f>HYPERLINK("http://www.youtube.com/channel/UCHuFeq6O8IE77zuClBDkATg")</f>
        <v>http://www.youtube.com/channel/UCHuFeq6O8IE77zuClBDkATg</v>
      </c>
      <c r="U214" s="80" t="s">
        <v>1154</v>
      </c>
      <c r="V214" s="80" t="s">
        <v>1214</v>
      </c>
      <c r="W214" s="82" t="str">
        <f>HYPERLINK("https://www.youtube.com/watch?v=Ieh0EhJzJgo")</f>
        <v>https://www.youtube.com/watch?v=Ieh0EhJzJgo</v>
      </c>
      <c r="X214" s="80" t="s">
        <v>213</v>
      </c>
      <c r="Y214" s="80">
        <v>0</v>
      </c>
      <c r="Z214" s="84">
        <v>44003.45829861111</v>
      </c>
      <c r="AA214" s="84">
        <v>44003.45829861111</v>
      </c>
      <c r="AB214" s="80"/>
      <c r="AC214" s="80"/>
      <c r="AD214" s="80"/>
      <c r="AE214" s="80">
        <v>1</v>
      </c>
      <c r="AF214" s="79" t="str">
        <f>REPLACE(INDEX(GroupVertices[Group],MATCH(Edges[[#This Row],[Vertex 1]],GroupVertices[Vertex],0)),1,1,"")</f>
        <v>13</v>
      </c>
      <c r="AG214" s="79" t="str">
        <f>REPLACE(INDEX(GroupVertices[Group],MATCH(Edges[[#This Row],[Vertex 2]],GroupVertices[Vertex],0)),1,1,"")</f>
        <v>13</v>
      </c>
      <c r="AH214" s="34"/>
      <c r="AI214" s="34"/>
      <c r="AJ214" s="34"/>
      <c r="AK214" s="34"/>
      <c r="AL214" s="34"/>
      <c r="AM214" s="34"/>
      <c r="AN214" s="34"/>
      <c r="AO214" s="34"/>
      <c r="AP214" s="34"/>
    </row>
    <row r="215" spans="1:42" ht="15">
      <c r="A215" s="65" t="s">
        <v>567</v>
      </c>
      <c r="B215" s="65" t="s">
        <v>499</v>
      </c>
      <c r="C215" s="66" t="s">
        <v>1853</v>
      </c>
      <c r="D215" s="67">
        <v>2</v>
      </c>
      <c r="E215" s="68"/>
      <c r="F215" s="69">
        <v>32</v>
      </c>
      <c r="G215" s="66"/>
      <c r="H215" s="70"/>
      <c r="I215" s="71"/>
      <c r="J215" s="71"/>
      <c r="K215" s="34" t="s">
        <v>65</v>
      </c>
      <c r="L215" s="78">
        <v>215</v>
      </c>
      <c r="M215" s="78"/>
      <c r="N215" s="73"/>
      <c r="O215" s="80" t="s">
        <v>210</v>
      </c>
      <c r="P215" s="80" t="s">
        <v>196</v>
      </c>
      <c r="Q215" s="80" t="s">
        <v>822</v>
      </c>
      <c r="R215" s="80" t="s">
        <v>567</v>
      </c>
      <c r="S215" s="80" t="s">
        <v>1029</v>
      </c>
      <c r="T215" s="82" t="str">
        <f>HYPERLINK("http://www.youtube.com/channel/UCMHwup1V_k48AWCCFNe2yqQ")</f>
        <v>http://www.youtube.com/channel/UCMHwup1V_k48AWCCFNe2yqQ</v>
      </c>
      <c r="U215" s="80"/>
      <c r="V215" s="80" t="s">
        <v>1214</v>
      </c>
      <c r="W215" s="82" t="str">
        <f>HYPERLINK("https://www.youtube.com/watch?v=Ieh0EhJzJgo")</f>
        <v>https://www.youtube.com/watch?v=Ieh0EhJzJgo</v>
      </c>
      <c r="X215" s="80" t="s">
        <v>213</v>
      </c>
      <c r="Y215" s="80">
        <v>1</v>
      </c>
      <c r="Z215" s="84">
        <v>44001.009305555555</v>
      </c>
      <c r="AA215" s="84">
        <v>44001.009305555555</v>
      </c>
      <c r="AB215" s="80"/>
      <c r="AC215" s="80"/>
      <c r="AD215" s="80"/>
      <c r="AE215" s="80">
        <v>1</v>
      </c>
      <c r="AF215" s="79" t="str">
        <f>REPLACE(INDEX(GroupVertices[Group],MATCH(Edges[[#This Row],[Vertex 1]],GroupVertices[Vertex],0)),1,1,"")</f>
        <v>13</v>
      </c>
      <c r="AG215" s="79" t="str">
        <f>REPLACE(INDEX(GroupVertices[Group],MATCH(Edges[[#This Row],[Vertex 2]],GroupVertices[Vertex],0)),1,1,"")</f>
        <v>13</v>
      </c>
      <c r="AH215" s="34"/>
      <c r="AI215" s="34"/>
      <c r="AJ215" s="34"/>
      <c r="AK215" s="34"/>
      <c r="AL215" s="34"/>
      <c r="AM215" s="34"/>
      <c r="AN215" s="34"/>
      <c r="AO215" s="34"/>
      <c r="AP215" s="34"/>
    </row>
    <row r="216" spans="1:42" ht="15">
      <c r="A216" s="65" t="s">
        <v>568</v>
      </c>
      <c r="B216" s="65" t="s">
        <v>569</v>
      </c>
      <c r="C216" s="66" t="s">
        <v>1853</v>
      </c>
      <c r="D216" s="67">
        <v>2</v>
      </c>
      <c r="E216" s="68"/>
      <c r="F216" s="69">
        <v>32</v>
      </c>
      <c r="G216" s="66"/>
      <c r="H216" s="70"/>
      <c r="I216" s="71"/>
      <c r="J216" s="71"/>
      <c r="K216" s="34" t="s">
        <v>66</v>
      </c>
      <c r="L216" s="78">
        <v>216</v>
      </c>
      <c r="M216" s="78"/>
      <c r="N216" s="73"/>
      <c r="O216" s="80" t="s">
        <v>211</v>
      </c>
      <c r="P216" s="80" t="s">
        <v>212</v>
      </c>
      <c r="Q216" s="80" t="s">
        <v>823</v>
      </c>
      <c r="R216" s="80" t="s">
        <v>568</v>
      </c>
      <c r="S216" s="80" t="s">
        <v>1030</v>
      </c>
      <c r="T216" s="82" t="str">
        <f>HYPERLINK("http://www.youtube.com/channel/UCHQ7g1xX-e9rghxNR4ChsOg")</f>
        <v>http://www.youtube.com/channel/UCHQ7g1xX-e9rghxNR4ChsOg</v>
      </c>
      <c r="U216" s="80" t="s">
        <v>1155</v>
      </c>
      <c r="V216" s="80" t="s">
        <v>1215</v>
      </c>
      <c r="W216" s="82" t="str">
        <f>HYPERLINK("https://www.youtube.com/watch?v=umBP2NJTi7E")</f>
        <v>https://www.youtube.com/watch?v=umBP2NJTi7E</v>
      </c>
      <c r="X216" s="80" t="s">
        <v>213</v>
      </c>
      <c r="Y216" s="80">
        <v>0</v>
      </c>
      <c r="Z216" s="84">
        <v>44001.48069444444</v>
      </c>
      <c r="AA216" s="84">
        <v>44001.48069444444</v>
      </c>
      <c r="AB216" s="80"/>
      <c r="AC216" s="80"/>
      <c r="AD216" s="80"/>
      <c r="AE216" s="80">
        <v>1</v>
      </c>
      <c r="AF216" s="79" t="str">
        <f>REPLACE(INDEX(GroupVertices[Group],MATCH(Edges[[#This Row],[Vertex 1]],GroupVertices[Vertex],0)),1,1,"")</f>
        <v>9</v>
      </c>
      <c r="AG216" s="79" t="str">
        <f>REPLACE(INDEX(GroupVertices[Group],MATCH(Edges[[#This Row],[Vertex 2]],GroupVertices[Vertex],0)),1,1,"")</f>
        <v>9</v>
      </c>
      <c r="AH216" s="34"/>
      <c r="AI216" s="34"/>
      <c r="AJ216" s="34"/>
      <c r="AK216" s="34"/>
      <c r="AL216" s="34"/>
      <c r="AM216" s="34"/>
      <c r="AN216" s="34"/>
      <c r="AO216" s="34"/>
      <c r="AP216" s="34"/>
    </row>
    <row r="217" spans="1:42" ht="15">
      <c r="A217" s="65" t="s">
        <v>569</v>
      </c>
      <c r="B217" s="65" t="s">
        <v>569</v>
      </c>
      <c r="C217" s="66" t="s">
        <v>1853</v>
      </c>
      <c r="D217" s="67">
        <v>2</v>
      </c>
      <c r="E217" s="68"/>
      <c r="F217" s="69">
        <v>32</v>
      </c>
      <c r="G217" s="66"/>
      <c r="H217" s="70"/>
      <c r="I217" s="71"/>
      <c r="J217" s="71"/>
      <c r="K217" s="34" t="s">
        <v>65</v>
      </c>
      <c r="L217" s="78">
        <v>217</v>
      </c>
      <c r="M217" s="78"/>
      <c r="N217" s="73"/>
      <c r="O217" s="80" t="s">
        <v>211</v>
      </c>
      <c r="P217" s="80" t="s">
        <v>212</v>
      </c>
      <c r="Q217" s="80" t="s">
        <v>824</v>
      </c>
      <c r="R217" s="80" t="s">
        <v>569</v>
      </c>
      <c r="S217" s="80" t="s">
        <v>1031</v>
      </c>
      <c r="T217" s="82" t="str">
        <f>HYPERLINK("http://www.youtube.com/channel/UCAlXUgj-ciriCdqCLXIB7jQ")</f>
        <v>http://www.youtube.com/channel/UCAlXUgj-ciriCdqCLXIB7jQ</v>
      </c>
      <c r="U217" s="80" t="s">
        <v>1155</v>
      </c>
      <c r="V217" s="80" t="s">
        <v>1215</v>
      </c>
      <c r="W217" s="82" t="str">
        <f>HYPERLINK("https://www.youtube.com/watch?v=umBP2NJTi7E")</f>
        <v>https://www.youtube.com/watch?v=umBP2NJTi7E</v>
      </c>
      <c r="X217" s="80" t="s">
        <v>213</v>
      </c>
      <c r="Y217" s="80">
        <v>0</v>
      </c>
      <c r="Z217" s="84">
        <v>44001.487708333334</v>
      </c>
      <c r="AA217" s="84">
        <v>44001.487708333334</v>
      </c>
      <c r="AB217" s="80"/>
      <c r="AC217" s="80"/>
      <c r="AD217" s="80"/>
      <c r="AE217" s="80">
        <v>1</v>
      </c>
      <c r="AF217" s="79" t="str">
        <f>REPLACE(INDEX(GroupVertices[Group],MATCH(Edges[[#This Row],[Vertex 1]],GroupVertices[Vertex],0)),1,1,"")</f>
        <v>9</v>
      </c>
      <c r="AG217" s="79" t="str">
        <f>REPLACE(INDEX(GroupVertices[Group],MATCH(Edges[[#This Row],[Vertex 2]],GroupVertices[Vertex],0)),1,1,"")</f>
        <v>9</v>
      </c>
      <c r="AH217" s="34"/>
      <c r="AI217" s="34"/>
      <c r="AJ217" s="34"/>
      <c r="AK217" s="34"/>
      <c r="AL217" s="34"/>
      <c r="AM217" s="34"/>
      <c r="AN217" s="34"/>
      <c r="AO217" s="34"/>
      <c r="AP217" s="34"/>
    </row>
    <row r="218" spans="1:42" ht="15">
      <c r="A218" s="65" t="s">
        <v>569</v>
      </c>
      <c r="B218" s="65" t="s">
        <v>568</v>
      </c>
      <c r="C218" s="66" t="s">
        <v>1853</v>
      </c>
      <c r="D218" s="67">
        <v>2</v>
      </c>
      <c r="E218" s="68"/>
      <c r="F218" s="69">
        <v>32</v>
      </c>
      <c r="G218" s="66"/>
      <c r="H218" s="70"/>
      <c r="I218" s="71"/>
      <c r="J218" s="71"/>
      <c r="K218" s="34" t="s">
        <v>66</v>
      </c>
      <c r="L218" s="78">
        <v>218</v>
      </c>
      <c r="M218" s="78"/>
      <c r="N218" s="73"/>
      <c r="O218" s="80" t="s">
        <v>210</v>
      </c>
      <c r="P218" s="80" t="s">
        <v>196</v>
      </c>
      <c r="Q218" s="80" t="s">
        <v>739</v>
      </c>
      <c r="R218" s="80" t="s">
        <v>569</v>
      </c>
      <c r="S218" s="80" t="s">
        <v>1031</v>
      </c>
      <c r="T218" s="82" t="str">
        <f>HYPERLINK("http://www.youtube.com/channel/UCAlXUgj-ciriCdqCLXIB7jQ")</f>
        <v>http://www.youtube.com/channel/UCAlXUgj-ciriCdqCLXIB7jQ</v>
      </c>
      <c r="U218" s="80"/>
      <c r="V218" s="80" t="s">
        <v>1215</v>
      </c>
      <c r="W218" s="82" t="str">
        <f>HYPERLINK("https://www.youtube.com/watch?v=umBP2NJTi7E")</f>
        <v>https://www.youtube.com/watch?v=umBP2NJTi7E</v>
      </c>
      <c r="X218" s="80" t="s">
        <v>213</v>
      </c>
      <c r="Y218" s="80">
        <v>0</v>
      </c>
      <c r="Z218" s="84">
        <v>44001.39716435185</v>
      </c>
      <c r="AA218" s="84">
        <v>44001.39716435185</v>
      </c>
      <c r="AB218" s="80"/>
      <c r="AC218" s="80"/>
      <c r="AD218" s="80"/>
      <c r="AE218" s="80">
        <v>1</v>
      </c>
      <c r="AF218" s="79" t="str">
        <f>REPLACE(INDEX(GroupVertices[Group],MATCH(Edges[[#This Row],[Vertex 1]],GroupVertices[Vertex],0)),1,1,"")</f>
        <v>9</v>
      </c>
      <c r="AG218" s="79" t="str">
        <f>REPLACE(INDEX(GroupVertices[Group],MATCH(Edges[[#This Row],[Vertex 2]],GroupVertices[Vertex],0)),1,1,"")</f>
        <v>9</v>
      </c>
      <c r="AH218" s="34"/>
      <c r="AI218" s="34"/>
      <c r="AJ218" s="34"/>
      <c r="AK218" s="34"/>
      <c r="AL218" s="34"/>
      <c r="AM218" s="34"/>
      <c r="AN218" s="34"/>
      <c r="AO218" s="34"/>
      <c r="AP218" s="34"/>
    </row>
    <row r="219" spans="1:42" ht="15">
      <c r="A219" s="65" t="s">
        <v>568</v>
      </c>
      <c r="B219" s="65" t="s">
        <v>570</v>
      </c>
      <c r="C219" s="66" t="s">
        <v>1853</v>
      </c>
      <c r="D219" s="67">
        <v>2</v>
      </c>
      <c r="E219" s="68"/>
      <c r="F219" s="69">
        <v>32</v>
      </c>
      <c r="G219" s="66"/>
      <c r="H219" s="70"/>
      <c r="I219" s="71"/>
      <c r="J219" s="71"/>
      <c r="K219" s="34" t="s">
        <v>66</v>
      </c>
      <c r="L219" s="78">
        <v>219</v>
      </c>
      <c r="M219" s="78"/>
      <c r="N219" s="73"/>
      <c r="O219" s="80" t="s">
        <v>211</v>
      </c>
      <c r="P219" s="80" t="s">
        <v>212</v>
      </c>
      <c r="Q219" s="80" t="s">
        <v>823</v>
      </c>
      <c r="R219" s="80" t="s">
        <v>568</v>
      </c>
      <c r="S219" s="80" t="s">
        <v>1030</v>
      </c>
      <c r="T219" s="82" t="str">
        <f>HYPERLINK("http://www.youtube.com/channel/UCHQ7g1xX-e9rghxNR4ChsOg")</f>
        <v>http://www.youtube.com/channel/UCHQ7g1xX-e9rghxNR4ChsOg</v>
      </c>
      <c r="U219" s="80" t="s">
        <v>1156</v>
      </c>
      <c r="V219" s="80" t="s">
        <v>1215</v>
      </c>
      <c r="W219" s="82" t="str">
        <f>HYPERLINK("https://www.youtube.com/watch?v=umBP2NJTi7E")</f>
        <v>https://www.youtube.com/watch?v=umBP2NJTi7E</v>
      </c>
      <c r="X219" s="80" t="s">
        <v>213</v>
      </c>
      <c r="Y219" s="80">
        <v>0</v>
      </c>
      <c r="Z219" s="84">
        <v>44001.48063657407</v>
      </c>
      <c r="AA219" s="84">
        <v>44001.48063657407</v>
      </c>
      <c r="AB219" s="80"/>
      <c r="AC219" s="80"/>
      <c r="AD219" s="80"/>
      <c r="AE219" s="80">
        <v>1</v>
      </c>
      <c r="AF219" s="79" t="str">
        <f>REPLACE(INDEX(GroupVertices[Group],MATCH(Edges[[#This Row],[Vertex 1]],GroupVertices[Vertex],0)),1,1,"")</f>
        <v>9</v>
      </c>
      <c r="AG219" s="79" t="str">
        <f>REPLACE(INDEX(GroupVertices[Group],MATCH(Edges[[#This Row],[Vertex 2]],GroupVertices[Vertex],0)),1,1,"")</f>
        <v>9</v>
      </c>
      <c r="AH219" s="34"/>
      <c r="AI219" s="34"/>
      <c r="AJ219" s="34"/>
      <c r="AK219" s="34"/>
      <c r="AL219" s="34"/>
      <c r="AM219" s="34"/>
      <c r="AN219" s="34"/>
      <c r="AO219" s="34"/>
      <c r="AP219" s="34"/>
    </row>
    <row r="220" spans="1:42" ht="15">
      <c r="A220" s="65" t="s">
        <v>570</v>
      </c>
      <c r="B220" s="65" t="s">
        <v>568</v>
      </c>
      <c r="C220" s="66" t="s">
        <v>1853</v>
      </c>
      <c r="D220" s="67">
        <v>2</v>
      </c>
      <c r="E220" s="68"/>
      <c r="F220" s="69">
        <v>32</v>
      </c>
      <c r="G220" s="66"/>
      <c r="H220" s="70"/>
      <c r="I220" s="71"/>
      <c r="J220" s="71"/>
      <c r="K220" s="34" t="s">
        <v>66</v>
      </c>
      <c r="L220" s="78">
        <v>220</v>
      </c>
      <c r="M220" s="78"/>
      <c r="N220" s="73"/>
      <c r="O220" s="80" t="s">
        <v>210</v>
      </c>
      <c r="P220" s="80" t="s">
        <v>196</v>
      </c>
      <c r="Q220" s="80" t="s">
        <v>739</v>
      </c>
      <c r="R220" s="80" t="s">
        <v>570</v>
      </c>
      <c r="S220" s="80" t="s">
        <v>1032</v>
      </c>
      <c r="T220" s="82" t="str">
        <f>HYPERLINK("http://www.youtube.com/channel/UCxTJWLPVQpxER06LVC1fj8w")</f>
        <v>http://www.youtube.com/channel/UCxTJWLPVQpxER06LVC1fj8w</v>
      </c>
      <c r="U220" s="80"/>
      <c r="V220" s="80" t="s">
        <v>1215</v>
      </c>
      <c r="W220" s="82" t="str">
        <f>HYPERLINK("https://www.youtube.com/watch?v=umBP2NJTi7E")</f>
        <v>https://www.youtube.com/watch?v=umBP2NJTi7E</v>
      </c>
      <c r="X220" s="80" t="s">
        <v>213</v>
      </c>
      <c r="Y220" s="80">
        <v>0</v>
      </c>
      <c r="Z220" s="84">
        <v>44001.465625</v>
      </c>
      <c r="AA220" s="84">
        <v>44001.465625</v>
      </c>
      <c r="AB220" s="80"/>
      <c r="AC220" s="80"/>
      <c r="AD220" s="80"/>
      <c r="AE220" s="80">
        <v>1</v>
      </c>
      <c r="AF220" s="79" t="str">
        <f>REPLACE(INDEX(GroupVertices[Group],MATCH(Edges[[#This Row],[Vertex 1]],GroupVertices[Vertex],0)),1,1,"")</f>
        <v>9</v>
      </c>
      <c r="AG220" s="79" t="str">
        <f>REPLACE(INDEX(GroupVertices[Group],MATCH(Edges[[#This Row],[Vertex 2]],GroupVertices[Vertex],0)),1,1,"")</f>
        <v>9</v>
      </c>
      <c r="AH220" s="34"/>
      <c r="AI220" s="34"/>
      <c r="AJ220" s="34"/>
      <c r="AK220" s="34"/>
      <c r="AL220" s="34"/>
      <c r="AM220" s="34"/>
      <c r="AN220" s="34"/>
      <c r="AO220" s="34"/>
      <c r="AP220" s="34"/>
    </row>
    <row r="221" spans="1:42" ht="15">
      <c r="A221" s="65" t="s">
        <v>571</v>
      </c>
      <c r="B221" s="65" t="s">
        <v>572</v>
      </c>
      <c r="C221" s="66" t="s">
        <v>1853</v>
      </c>
      <c r="D221" s="67">
        <v>2</v>
      </c>
      <c r="E221" s="68"/>
      <c r="F221" s="69">
        <v>32</v>
      </c>
      <c r="G221" s="66"/>
      <c r="H221" s="70"/>
      <c r="I221" s="71"/>
      <c r="J221" s="71"/>
      <c r="K221" s="34" t="s">
        <v>66</v>
      </c>
      <c r="L221" s="78">
        <v>221</v>
      </c>
      <c r="M221" s="78"/>
      <c r="N221" s="73"/>
      <c r="O221" s="80" t="s">
        <v>211</v>
      </c>
      <c r="P221" s="80" t="s">
        <v>212</v>
      </c>
      <c r="Q221" s="80" t="s">
        <v>825</v>
      </c>
      <c r="R221" s="80" t="s">
        <v>571</v>
      </c>
      <c r="S221" s="80" t="s">
        <v>1033</v>
      </c>
      <c r="T221" s="82" t="str">
        <f>HYPERLINK("http://www.youtube.com/channel/UCz4eajnBYLumJR1qQj2SR9w")</f>
        <v>http://www.youtube.com/channel/UCz4eajnBYLumJR1qQj2SR9w</v>
      </c>
      <c r="U221" s="80" t="s">
        <v>1157</v>
      </c>
      <c r="V221" s="80" t="s">
        <v>1216</v>
      </c>
      <c r="W221" s="82" t="str">
        <f>HYPERLINK("https://www.youtube.com/watch?v=FM4zsUFg_iE")</f>
        <v>https://www.youtube.com/watch?v=FM4zsUFg_iE</v>
      </c>
      <c r="X221" s="80" t="s">
        <v>213</v>
      </c>
      <c r="Y221" s="80">
        <v>0</v>
      </c>
      <c r="Z221" s="84">
        <v>44001.80059027778</v>
      </c>
      <c r="AA221" s="84">
        <v>44001.80059027778</v>
      </c>
      <c r="AB221" s="80"/>
      <c r="AC221" s="80"/>
      <c r="AD221" s="80"/>
      <c r="AE221" s="80">
        <v>1</v>
      </c>
      <c r="AF221" s="79" t="str">
        <f>REPLACE(INDEX(GroupVertices[Group],MATCH(Edges[[#This Row],[Vertex 1]],GroupVertices[Vertex],0)),1,1,"")</f>
        <v>17</v>
      </c>
      <c r="AG221" s="79" t="str">
        <f>REPLACE(INDEX(GroupVertices[Group],MATCH(Edges[[#This Row],[Vertex 2]],GroupVertices[Vertex],0)),1,1,"")</f>
        <v>17</v>
      </c>
      <c r="AH221" s="34"/>
      <c r="AI221" s="34"/>
      <c r="AJ221" s="34"/>
      <c r="AK221" s="34"/>
      <c r="AL221" s="34"/>
      <c r="AM221" s="34"/>
      <c r="AN221" s="34"/>
      <c r="AO221" s="34"/>
      <c r="AP221" s="34"/>
    </row>
    <row r="222" spans="1:42" ht="15">
      <c r="A222" s="65" t="s">
        <v>572</v>
      </c>
      <c r="B222" s="65" t="s">
        <v>571</v>
      </c>
      <c r="C222" s="66" t="s">
        <v>1853</v>
      </c>
      <c r="D222" s="67">
        <v>2</v>
      </c>
      <c r="E222" s="68"/>
      <c r="F222" s="69">
        <v>32</v>
      </c>
      <c r="G222" s="66"/>
      <c r="H222" s="70"/>
      <c r="I222" s="71"/>
      <c r="J222" s="71"/>
      <c r="K222" s="34" t="s">
        <v>66</v>
      </c>
      <c r="L222" s="78">
        <v>222</v>
      </c>
      <c r="M222" s="78"/>
      <c r="N222" s="73"/>
      <c r="O222" s="80" t="s">
        <v>210</v>
      </c>
      <c r="P222" s="80" t="s">
        <v>196</v>
      </c>
      <c r="Q222" s="80" t="s">
        <v>826</v>
      </c>
      <c r="R222" s="80" t="s">
        <v>572</v>
      </c>
      <c r="S222" s="80" t="s">
        <v>1034</v>
      </c>
      <c r="T222" s="82" t="str">
        <f>HYPERLINK("http://www.youtube.com/channel/UCTM43tLnMPEe1n93r_hJIJQ")</f>
        <v>http://www.youtube.com/channel/UCTM43tLnMPEe1n93r_hJIJQ</v>
      </c>
      <c r="U222" s="80"/>
      <c r="V222" s="80" t="s">
        <v>1216</v>
      </c>
      <c r="W222" s="82" t="str">
        <f>HYPERLINK("https://www.youtube.com/watch?v=FM4zsUFg_iE")</f>
        <v>https://www.youtube.com/watch?v=FM4zsUFg_iE</v>
      </c>
      <c r="X222" s="80" t="s">
        <v>213</v>
      </c>
      <c r="Y222" s="80">
        <v>1</v>
      </c>
      <c r="Z222" s="84">
        <v>44001.77322916667</v>
      </c>
      <c r="AA222" s="84">
        <v>44001.77322916667</v>
      </c>
      <c r="AB222" s="80"/>
      <c r="AC222" s="80"/>
      <c r="AD222" s="80"/>
      <c r="AE222" s="80">
        <v>1</v>
      </c>
      <c r="AF222" s="79" t="str">
        <f>REPLACE(INDEX(GroupVertices[Group],MATCH(Edges[[#This Row],[Vertex 1]],GroupVertices[Vertex],0)),1,1,"")</f>
        <v>17</v>
      </c>
      <c r="AG222" s="79" t="str">
        <f>REPLACE(INDEX(GroupVertices[Group],MATCH(Edges[[#This Row],[Vertex 2]],GroupVertices[Vertex],0)),1,1,"")</f>
        <v>17</v>
      </c>
      <c r="AH222" s="34"/>
      <c r="AI222" s="34"/>
      <c r="AJ222" s="34"/>
      <c r="AK222" s="34"/>
      <c r="AL222" s="34"/>
      <c r="AM222" s="34"/>
      <c r="AN222" s="34"/>
      <c r="AO222" s="34"/>
      <c r="AP222" s="34"/>
    </row>
    <row r="223" spans="1:42" ht="15">
      <c r="A223" s="65" t="s">
        <v>571</v>
      </c>
      <c r="B223" s="65" t="s">
        <v>573</v>
      </c>
      <c r="C223" s="66" t="s">
        <v>1853</v>
      </c>
      <c r="D223" s="67">
        <v>2</v>
      </c>
      <c r="E223" s="68"/>
      <c r="F223" s="69">
        <v>32</v>
      </c>
      <c r="G223" s="66"/>
      <c r="H223" s="70"/>
      <c r="I223" s="71"/>
      <c r="J223" s="71"/>
      <c r="K223" s="34" t="s">
        <v>66</v>
      </c>
      <c r="L223" s="78">
        <v>223</v>
      </c>
      <c r="M223" s="78"/>
      <c r="N223" s="73"/>
      <c r="O223" s="80" t="s">
        <v>211</v>
      </c>
      <c r="P223" s="80" t="s">
        <v>212</v>
      </c>
      <c r="Q223" s="80" t="s">
        <v>827</v>
      </c>
      <c r="R223" s="80" t="s">
        <v>571</v>
      </c>
      <c r="S223" s="80" t="s">
        <v>1033</v>
      </c>
      <c r="T223" s="82" t="str">
        <f>HYPERLINK("http://www.youtube.com/channel/UCz4eajnBYLumJR1qQj2SR9w")</f>
        <v>http://www.youtube.com/channel/UCz4eajnBYLumJR1qQj2SR9w</v>
      </c>
      <c r="U223" s="80" t="s">
        <v>1158</v>
      </c>
      <c r="V223" s="80" t="s">
        <v>1216</v>
      </c>
      <c r="W223" s="82" t="str">
        <f>HYPERLINK("https://www.youtube.com/watch?v=FM4zsUFg_iE")</f>
        <v>https://www.youtube.com/watch?v=FM4zsUFg_iE</v>
      </c>
      <c r="X223" s="80" t="s">
        <v>213</v>
      </c>
      <c r="Y223" s="80">
        <v>1</v>
      </c>
      <c r="Z223" s="84">
        <v>44001.80087962963</v>
      </c>
      <c r="AA223" s="84">
        <v>44001.80087962963</v>
      </c>
      <c r="AB223" s="80"/>
      <c r="AC223" s="80"/>
      <c r="AD223" s="80"/>
      <c r="AE223" s="80">
        <v>1</v>
      </c>
      <c r="AF223" s="79" t="str">
        <f>REPLACE(INDEX(GroupVertices[Group],MATCH(Edges[[#This Row],[Vertex 1]],GroupVertices[Vertex],0)),1,1,"")</f>
        <v>17</v>
      </c>
      <c r="AG223" s="79" t="str">
        <f>REPLACE(INDEX(GroupVertices[Group],MATCH(Edges[[#This Row],[Vertex 2]],GroupVertices[Vertex],0)),1,1,"")</f>
        <v>17</v>
      </c>
      <c r="AH223" s="34"/>
      <c r="AI223" s="34"/>
      <c r="AJ223" s="34"/>
      <c r="AK223" s="34"/>
      <c r="AL223" s="34"/>
      <c r="AM223" s="34"/>
      <c r="AN223" s="34"/>
      <c r="AO223" s="34"/>
      <c r="AP223" s="34"/>
    </row>
    <row r="224" spans="1:42" ht="15">
      <c r="A224" s="65" t="s">
        <v>573</v>
      </c>
      <c r="B224" s="65" t="s">
        <v>571</v>
      </c>
      <c r="C224" s="66" t="s">
        <v>1853</v>
      </c>
      <c r="D224" s="67">
        <v>2</v>
      </c>
      <c r="E224" s="68"/>
      <c r="F224" s="69">
        <v>32</v>
      </c>
      <c r="G224" s="66"/>
      <c r="H224" s="70"/>
      <c r="I224" s="71"/>
      <c r="J224" s="71"/>
      <c r="K224" s="34" t="s">
        <v>66</v>
      </c>
      <c r="L224" s="78">
        <v>224</v>
      </c>
      <c r="M224" s="78"/>
      <c r="N224" s="73"/>
      <c r="O224" s="80" t="s">
        <v>210</v>
      </c>
      <c r="P224" s="80" t="s">
        <v>196</v>
      </c>
      <c r="Q224" s="80" t="s">
        <v>828</v>
      </c>
      <c r="R224" s="80" t="s">
        <v>573</v>
      </c>
      <c r="S224" s="80" t="s">
        <v>1035</v>
      </c>
      <c r="T224" s="82" t="str">
        <f>HYPERLINK("http://www.youtube.com/channel/UCh_KxM9jaD6DCzneVuwjXNA")</f>
        <v>http://www.youtube.com/channel/UCh_KxM9jaD6DCzneVuwjXNA</v>
      </c>
      <c r="U224" s="80"/>
      <c r="V224" s="80" t="s">
        <v>1216</v>
      </c>
      <c r="W224" s="82" t="str">
        <f>HYPERLINK("https://www.youtube.com/watch?v=FM4zsUFg_iE")</f>
        <v>https://www.youtube.com/watch?v=FM4zsUFg_iE</v>
      </c>
      <c r="X224" s="80" t="s">
        <v>213</v>
      </c>
      <c r="Y224" s="80">
        <v>1</v>
      </c>
      <c r="Z224" s="84">
        <v>44001.78270833333</v>
      </c>
      <c r="AA224" s="84">
        <v>44001.78270833333</v>
      </c>
      <c r="AB224" s="80"/>
      <c r="AC224" s="80"/>
      <c r="AD224" s="80"/>
      <c r="AE224" s="80">
        <v>1</v>
      </c>
      <c r="AF224" s="79" t="str">
        <f>REPLACE(INDEX(GroupVertices[Group],MATCH(Edges[[#This Row],[Vertex 1]],GroupVertices[Vertex],0)),1,1,"")</f>
        <v>17</v>
      </c>
      <c r="AG224" s="79" t="str">
        <f>REPLACE(INDEX(GroupVertices[Group],MATCH(Edges[[#This Row],[Vertex 2]],GroupVertices[Vertex],0)),1,1,"")</f>
        <v>17</v>
      </c>
      <c r="AH224" s="34"/>
      <c r="AI224" s="34"/>
      <c r="AJ224" s="34"/>
      <c r="AK224" s="34"/>
      <c r="AL224" s="34"/>
      <c r="AM224" s="34"/>
      <c r="AN224" s="34"/>
      <c r="AO224" s="34"/>
      <c r="AP224" s="34"/>
    </row>
    <row r="225" spans="1:42" ht="15">
      <c r="A225" s="65" t="s">
        <v>574</v>
      </c>
      <c r="B225" s="65" t="s">
        <v>575</v>
      </c>
      <c r="C225" s="66" t="s">
        <v>1853</v>
      </c>
      <c r="D225" s="67">
        <v>2</v>
      </c>
      <c r="E225" s="68"/>
      <c r="F225" s="69">
        <v>32</v>
      </c>
      <c r="G225" s="66"/>
      <c r="H225" s="70"/>
      <c r="I225" s="71"/>
      <c r="J225" s="71"/>
      <c r="K225" s="34" t="s">
        <v>66</v>
      </c>
      <c r="L225" s="78">
        <v>225</v>
      </c>
      <c r="M225" s="78"/>
      <c r="N225" s="73"/>
      <c r="O225" s="80" t="s">
        <v>211</v>
      </c>
      <c r="P225" s="80" t="s">
        <v>212</v>
      </c>
      <c r="Q225" s="80" t="s">
        <v>829</v>
      </c>
      <c r="R225" s="80" t="s">
        <v>574</v>
      </c>
      <c r="S225" s="80" t="s">
        <v>1036</v>
      </c>
      <c r="T225" s="82" t="str">
        <f>HYPERLINK("http://www.youtube.com/channel/UC050KnRA2lffzEsB1h8uQCw")</f>
        <v>http://www.youtube.com/channel/UC050KnRA2lffzEsB1h8uQCw</v>
      </c>
      <c r="U225" s="80" t="s">
        <v>1159</v>
      </c>
      <c r="V225" s="80" t="s">
        <v>1217</v>
      </c>
      <c r="W225" s="82" t="str">
        <f>HYPERLINK("https://www.youtube.com/watch?v=DBPmRIZMIFY")</f>
        <v>https://www.youtube.com/watch?v=DBPmRIZMIFY</v>
      </c>
      <c r="X225" s="80" t="s">
        <v>213</v>
      </c>
      <c r="Y225" s="80">
        <v>1</v>
      </c>
      <c r="Z225" s="84">
        <v>44002.81594907407</v>
      </c>
      <c r="AA225" s="84">
        <v>44002.81594907407</v>
      </c>
      <c r="AB225" s="80"/>
      <c r="AC225" s="80"/>
      <c r="AD225" s="80"/>
      <c r="AE225" s="80">
        <v>1</v>
      </c>
      <c r="AF225" s="79" t="str">
        <f>REPLACE(INDEX(GroupVertices[Group],MATCH(Edges[[#This Row],[Vertex 1]],GroupVertices[Vertex],0)),1,1,"")</f>
        <v>3</v>
      </c>
      <c r="AG225" s="79" t="str">
        <f>REPLACE(INDEX(GroupVertices[Group],MATCH(Edges[[#This Row],[Vertex 2]],GroupVertices[Vertex],0)),1,1,"")</f>
        <v>3</v>
      </c>
      <c r="AH225" s="34"/>
      <c r="AI225" s="34"/>
      <c r="AJ225" s="34"/>
      <c r="AK225" s="34"/>
      <c r="AL225" s="34"/>
      <c r="AM225" s="34"/>
      <c r="AN225" s="34"/>
      <c r="AO225" s="34"/>
      <c r="AP225" s="34"/>
    </row>
    <row r="226" spans="1:42" ht="15">
      <c r="A226" s="65" t="s">
        <v>575</v>
      </c>
      <c r="B226" s="65" t="s">
        <v>574</v>
      </c>
      <c r="C226" s="66" t="s">
        <v>1853</v>
      </c>
      <c r="D226" s="67">
        <v>2</v>
      </c>
      <c r="E226" s="68"/>
      <c r="F226" s="69">
        <v>32</v>
      </c>
      <c r="G226" s="66"/>
      <c r="H226" s="70"/>
      <c r="I226" s="71"/>
      <c r="J226" s="71"/>
      <c r="K226" s="34" t="s">
        <v>66</v>
      </c>
      <c r="L226" s="78">
        <v>226</v>
      </c>
      <c r="M226" s="78"/>
      <c r="N226" s="73"/>
      <c r="O226" s="80" t="s">
        <v>210</v>
      </c>
      <c r="P226" s="80" t="s">
        <v>196</v>
      </c>
      <c r="Q226" s="80" t="s">
        <v>830</v>
      </c>
      <c r="R226" s="80" t="s">
        <v>575</v>
      </c>
      <c r="S226" s="80" t="s">
        <v>1037</v>
      </c>
      <c r="T226" s="82" t="str">
        <f>HYPERLINK("http://www.youtube.com/channel/UCvcDnuJmSOuZUEetVKojWeQ")</f>
        <v>http://www.youtube.com/channel/UCvcDnuJmSOuZUEetVKojWeQ</v>
      </c>
      <c r="U226" s="80"/>
      <c r="V226" s="80" t="s">
        <v>1217</v>
      </c>
      <c r="W226" s="82" t="str">
        <f>HYPERLINK("https://www.youtube.com/watch?v=DBPmRIZMIFY")</f>
        <v>https://www.youtube.com/watch?v=DBPmRIZMIFY</v>
      </c>
      <c r="X226" s="80" t="s">
        <v>213</v>
      </c>
      <c r="Y226" s="80">
        <v>0</v>
      </c>
      <c r="Z226" s="84">
        <v>44002.519155092596</v>
      </c>
      <c r="AA226" s="84">
        <v>44002.519155092596</v>
      </c>
      <c r="AB226" s="80"/>
      <c r="AC226" s="80"/>
      <c r="AD226" s="80"/>
      <c r="AE226" s="80">
        <v>1</v>
      </c>
      <c r="AF226" s="79" t="str">
        <f>REPLACE(INDEX(GroupVertices[Group],MATCH(Edges[[#This Row],[Vertex 1]],GroupVertices[Vertex],0)),1,1,"")</f>
        <v>3</v>
      </c>
      <c r="AG226" s="79" t="str">
        <f>REPLACE(INDEX(GroupVertices[Group],MATCH(Edges[[#This Row],[Vertex 2]],GroupVertices[Vertex],0)),1,1,"")</f>
        <v>3</v>
      </c>
      <c r="AH226" s="34"/>
      <c r="AI226" s="34"/>
      <c r="AJ226" s="34"/>
      <c r="AK226" s="34"/>
      <c r="AL226" s="34"/>
      <c r="AM226" s="34"/>
      <c r="AN226" s="34"/>
      <c r="AO226" s="34"/>
      <c r="AP226" s="34"/>
    </row>
    <row r="227" spans="1:42" ht="15">
      <c r="A227" s="65" t="s">
        <v>574</v>
      </c>
      <c r="B227" s="65" t="s">
        <v>576</v>
      </c>
      <c r="C227" s="66" t="s">
        <v>1853</v>
      </c>
      <c r="D227" s="67">
        <v>2</v>
      </c>
      <c r="E227" s="68"/>
      <c r="F227" s="69">
        <v>32</v>
      </c>
      <c r="G227" s="66"/>
      <c r="H227" s="70"/>
      <c r="I227" s="71"/>
      <c r="J227" s="71"/>
      <c r="K227" s="34" t="s">
        <v>66</v>
      </c>
      <c r="L227" s="78">
        <v>227</v>
      </c>
      <c r="M227" s="78"/>
      <c r="N227" s="73"/>
      <c r="O227" s="80" t="s">
        <v>211</v>
      </c>
      <c r="P227" s="80" t="s">
        <v>212</v>
      </c>
      <c r="Q227" s="80" t="s">
        <v>831</v>
      </c>
      <c r="R227" s="80" t="s">
        <v>574</v>
      </c>
      <c r="S227" s="80" t="s">
        <v>1036</v>
      </c>
      <c r="T227" s="82" t="str">
        <f>HYPERLINK("http://www.youtube.com/channel/UC050KnRA2lffzEsB1h8uQCw")</f>
        <v>http://www.youtube.com/channel/UC050KnRA2lffzEsB1h8uQCw</v>
      </c>
      <c r="U227" s="80" t="s">
        <v>1160</v>
      </c>
      <c r="V227" s="80" t="s">
        <v>1217</v>
      </c>
      <c r="W227" s="82" t="str">
        <f>HYPERLINK("https://www.youtube.com/watch?v=DBPmRIZMIFY")</f>
        <v>https://www.youtube.com/watch?v=DBPmRIZMIFY</v>
      </c>
      <c r="X227" s="80" t="s">
        <v>213</v>
      </c>
      <c r="Y227" s="80">
        <v>0</v>
      </c>
      <c r="Z227" s="84">
        <v>44002.81575231482</v>
      </c>
      <c r="AA227" s="84">
        <v>44002.81575231482</v>
      </c>
      <c r="AB227" s="80"/>
      <c r="AC227" s="80"/>
      <c r="AD227" s="80"/>
      <c r="AE227" s="80">
        <v>1</v>
      </c>
      <c r="AF227" s="79" t="str">
        <f>REPLACE(INDEX(GroupVertices[Group],MATCH(Edges[[#This Row],[Vertex 1]],GroupVertices[Vertex],0)),1,1,"")</f>
        <v>3</v>
      </c>
      <c r="AG227" s="79" t="str">
        <f>REPLACE(INDEX(GroupVertices[Group],MATCH(Edges[[#This Row],[Vertex 2]],GroupVertices[Vertex],0)),1,1,"")</f>
        <v>3</v>
      </c>
      <c r="AH227" s="34"/>
      <c r="AI227" s="34"/>
      <c r="AJ227" s="34"/>
      <c r="AK227" s="34"/>
      <c r="AL227" s="34"/>
      <c r="AM227" s="34"/>
      <c r="AN227" s="34"/>
      <c r="AO227" s="34"/>
      <c r="AP227" s="34"/>
    </row>
    <row r="228" spans="1:42" ht="15">
      <c r="A228" s="65" t="s">
        <v>576</v>
      </c>
      <c r="B228" s="65" t="s">
        <v>574</v>
      </c>
      <c r="C228" s="66" t="s">
        <v>1853</v>
      </c>
      <c r="D228" s="67">
        <v>2</v>
      </c>
      <c r="E228" s="68"/>
      <c r="F228" s="69">
        <v>32</v>
      </c>
      <c r="G228" s="66"/>
      <c r="H228" s="70"/>
      <c r="I228" s="71"/>
      <c r="J228" s="71"/>
      <c r="K228" s="34" t="s">
        <v>66</v>
      </c>
      <c r="L228" s="78">
        <v>228</v>
      </c>
      <c r="M228" s="78"/>
      <c r="N228" s="73"/>
      <c r="O228" s="80" t="s">
        <v>210</v>
      </c>
      <c r="P228" s="80" t="s">
        <v>196</v>
      </c>
      <c r="Q228" s="80" t="s">
        <v>832</v>
      </c>
      <c r="R228" s="80" t="s">
        <v>576</v>
      </c>
      <c r="S228" s="80" t="s">
        <v>1038</v>
      </c>
      <c r="T228" s="82" t="str">
        <f>HYPERLINK("http://www.youtube.com/channel/UCGJJ3TcIzi9xorWNF8NYVrw")</f>
        <v>http://www.youtube.com/channel/UCGJJ3TcIzi9xorWNF8NYVrw</v>
      </c>
      <c r="U228" s="80"/>
      <c r="V228" s="80" t="s">
        <v>1217</v>
      </c>
      <c r="W228" s="82" t="str">
        <f>HYPERLINK("https://www.youtube.com/watch?v=DBPmRIZMIFY")</f>
        <v>https://www.youtube.com/watch?v=DBPmRIZMIFY</v>
      </c>
      <c r="X228" s="80" t="s">
        <v>213</v>
      </c>
      <c r="Y228" s="80">
        <v>0</v>
      </c>
      <c r="Z228" s="84">
        <v>44002.557118055556</v>
      </c>
      <c r="AA228" s="84">
        <v>44002.557118055556</v>
      </c>
      <c r="AB228" s="80"/>
      <c r="AC228" s="80"/>
      <c r="AD228" s="80"/>
      <c r="AE228" s="80">
        <v>1</v>
      </c>
      <c r="AF228" s="79" t="str">
        <f>REPLACE(INDEX(GroupVertices[Group],MATCH(Edges[[#This Row],[Vertex 1]],GroupVertices[Vertex],0)),1,1,"")</f>
        <v>3</v>
      </c>
      <c r="AG228" s="79" t="str">
        <f>REPLACE(INDEX(GroupVertices[Group],MATCH(Edges[[#This Row],[Vertex 2]],GroupVertices[Vertex],0)),1,1,"")</f>
        <v>3</v>
      </c>
      <c r="AH228" s="34"/>
      <c r="AI228" s="34"/>
      <c r="AJ228" s="34"/>
      <c r="AK228" s="34"/>
      <c r="AL228" s="34"/>
      <c r="AM228" s="34"/>
      <c r="AN228" s="34"/>
      <c r="AO228" s="34"/>
      <c r="AP228" s="34"/>
    </row>
    <row r="229" spans="1:42" ht="15">
      <c r="A229" s="65" t="s">
        <v>574</v>
      </c>
      <c r="B229" s="65" t="s">
        <v>577</v>
      </c>
      <c r="C229" s="66" t="s">
        <v>1833</v>
      </c>
      <c r="D229" s="67">
        <v>2</v>
      </c>
      <c r="E229" s="68"/>
      <c r="F229" s="69">
        <v>32</v>
      </c>
      <c r="G229" s="66"/>
      <c r="H229" s="70"/>
      <c r="I229" s="71"/>
      <c r="J229" s="71"/>
      <c r="K229" s="34" t="s">
        <v>66</v>
      </c>
      <c r="L229" s="78">
        <v>229</v>
      </c>
      <c r="M229" s="78"/>
      <c r="N229" s="73"/>
      <c r="O229" s="80" t="s">
        <v>211</v>
      </c>
      <c r="P229" s="80" t="s">
        <v>212</v>
      </c>
      <c r="Q229" s="80" t="s">
        <v>829</v>
      </c>
      <c r="R229" s="80" t="s">
        <v>574</v>
      </c>
      <c r="S229" s="80" t="s">
        <v>1036</v>
      </c>
      <c r="T229" s="82" t="str">
        <f>HYPERLINK("http://www.youtube.com/channel/UC050KnRA2lffzEsB1h8uQCw")</f>
        <v>http://www.youtube.com/channel/UC050KnRA2lffzEsB1h8uQCw</v>
      </c>
      <c r="U229" s="80" t="s">
        <v>1161</v>
      </c>
      <c r="V229" s="80" t="s">
        <v>1217</v>
      </c>
      <c r="W229" s="82" t="str">
        <f>HYPERLINK("https://www.youtube.com/watch?v=DBPmRIZMIFY")</f>
        <v>https://www.youtube.com/watch?v=DBPmRIZMIFY</v>
      </c>
      <c r="X229" s="80" t="s">
        <v>213</v>
      </c>
      <c r="Y229" s="80">
        <v>0</v>
      </c>
      <c r="Z229" s="84">
        <v>44002.81605324074</v>
      </c>
      <c r="AA229" s="84">
        <v>44002.81605324074</v>
      </c>
      <c r="AB229" s="80"/>
      <c r="AC229" s="80"/>
      <c r="AD229" s="80"/>
      <c r="AE229" s="80">
        <v>3</v>
      </c>
      <c r="AF229" s="79" t="str">
        <f>REPLACE(INDEX(GroupVertices[Group],MATCH(Edges[[#This Row],[Vertex 1]],GroupVertices[Vertex],0)),1,1,"")</f>
        <v>3</v>
      </c>
      <c r="AG229" s="79" t="str">
        <f>REPLACE(INDEX(GroupVertices[Group],MATCH(Edges[[#This Row],[Vertex 2]],GroupVertices[Vertex],0)),1,1,"")</f>
        <v>3</v>
      </c>
      <c r="AH229" s="34"/>
      <c r="AI229" s="34"/>
      <c r="AJ229" s="34"/>
      <c r="AK229" s="34"/>
      <c r="AL229" s="34"/>
      <c r="AM229" s="34"/>
      <c r="AN229" s="34"/>
      <c r="AO229" s="34"/>
      <c r="AP229" s="34"/>
    </row>
    <row r="230" spans="1:42" ht="15">
      <c r="A230" s="65" t="s">
        <v>577</v>
      </c>
      <c r="B230" s="65" t="s">
        <v>574</v>
      </c>
      <c r="C230" s="66" t="s">
        <v>1833</v>
      </c>
      <c r="D230" s="67">
        <v>2</v>
      </c>
      <c r="E230" s="68"/>
      <c r="F230" s="69">
        <v>32</v>
      </c>
      <c r="G230" s="66"/>
      <c r="H230" s="70"/>
      <c r="I230" s="71"/>
      <c r="J230" s="71"/>
      <c r="K230" s="34" t="s">
        <v>66</v>
      </c>
      <c r="L230" s="78">
        <v>230</v>
      </c>
      <c r="M230" s="78"/>
      <c r="N230" s="73"/>
      <c r="O230" s="80" t="s">
        <v>210</v>
      </c>
      <c r="P230" s="80" t="s">
        <v>196</v>
      </c>
      <c r="Q230" s="80" t="s">
        <v>833</v>
      </c>
      <c r="R230" s="80" t="s">
        <v>577</v>
      </c>
      <c r="S230" s="80" t="s">
        <v>1039</v>
      </c>
      <c r="T230" s="82" t="str">
        <f>HYPERLINK("http://www.youtube.com/channel/UCxmSF_xV8EqQkoPYJL0bQLA")</f>
        <v>http://www.youtube.com/channel/UCxmSF_xV8EqQkoPYJL0bQLA</v>
      </c>
      <c r="U230" s="80"/>
      <c r="V230" s="80" t="s">
        <v>1217</v>
      </c>
      <c r="W230" s="82" t="str">
        <f>HYPERLINK("https://www.youtube.com/watch?v=DBPmRIZMIFY")</f>
        <v>https://www.youtube.com/watch?v=DBPmRIZMIFY</v>
      </c>
      <c r="X230" s="80" t="s">
        <v>213</v>
      </c>
      <c r="Y230" s="80">
        <v>0</v>
      </c>
      <c r="Z230" s="84">
        <v>44002.45730324074</v>
      </c>
      <c r="AA230" s="84">
        <v>44002.45730324074</v>
      </c>
      <c r="AB230" s="80"/>
      <c r="AC230" s="80"/>
      <c r="AD230" s="80"/>
      <c r="AE230" s="80">
        <v>2</v>
      </c>
      <c r="AF230" s="79" t="str">
        <f>REPLACE(INDEX(GroupVertices[Group],MATCH(Edges[[#This Row],[Vertex 1]],GroupVertices[Vertex],0)),1,1,"")</f>
        <v>3</v>
      </c>
      <c r="AG230" s="79" t="str">
        <f>REPLACE(INDEX(GroupVertices[Group],MATCH(Edges[[#This Row],[Vertex 2]],GroupVertices[Vertex],0)),1,1,"")</f>
        <v>3</v>
      </c>
      <c r="AH230" s="34"/>
      <c r="AI230" s="34"/>
      <c r="AJ230" s="34"/>
      <c r="AK230" s="34"/>
      <c r="AL230" s="34"/>
      <c r="AM230" s="34"/>
      <c r="AN230" s="34"/>
      <c r="AO230" s="34"/>
      <c r="AP230" s="34"/>
    </row>
    <row r="231" spans="1:42" ht="15">
      <c r="A231" s="65" t="s">
        <v>574</v>
      </c>
      <c r="B231" s="65" t="s">
        <v>577</v>
      </c>
      <c r="C231" s="66" t="s">
        <v>1833</v>
      </c>
      <c r="D231" s="67">
        <v>2</v>
      </c>
      <c r="E231" s="68"/>
      <c r="F231" s="69">
        <v>32</v>
      </c>
      <c r="G231" s="66"/>
      <c r="H231" s="70"/>
      <c r="I231" s="71"/>
      <c r="J231" s="71"/>
      <c r="K231" s="34" t="s">
        <v>66</v>
      </c>
      <c r="L231" s="78">
        <v>231</v>
      </c>
      <c r="M231" s="78"/>
      <c r="N231" s="73"/>
      <c r="O231" s="80" t="s">
        <v>211</v>
      </c>
      <c r="P231" s="80" t="s">
        <v>212</v>
      </c>
      <c r="Q231" s="80" t="s">
        <v>834</v>
      </c>
      <c r="R231" s="80" t="s">
        <v>574</v>
      </c>
      <c r="S231" s="80" t="s">
        <v>1036</v>
      </c>
      <c r="T231" s="82" t="str">
        <f>HYPERLINK("http://www.youtube.com/channel/UC050KnRA2lffzEsB1h8uQCw")</f>
        <v>http://www.youtube.com/channel/UC050KnRA2lffzEsB1h8uQCw</v>
      </c>
      <c r="U231" s="80" t="s">
        <v>1162</v>
      </c>
      <c r="V231" s="80" t="s">
        <v>1217</v>
      </c>
      <c r="W231" s="82" t="str">
        <f>HYPERLINK("https://www.youtube.com/watch?v=DBPmRIZMIFY")</f>
        <v>https://www.youtube.com/watch?v=DBPmRIZMIFY</v>
      </c>
      <c r="X231" s="80" t="s">
        <v>213</v>
      </c>
      <c r="Y231" s="80">
        <v>0</v>
      </c>
      <c r="Z231" s="84">
        <v>44002.81539351852</v>
      </c>
      <c r="AA231" s="84">
        <v>44002.81539351852</v>
      </c>
      <c r="AB231" s="80"/>
      <c r="AC231" s="80"/>
      <c r="AD231" s="80"/>
      <c r="AE231" s="80">
        <v>3</v>
      </c>
      <c r="AF231" s="79" t="str">
        <f>REPLACE(INDEX(GroupVertices[Group],MATCH(Edges[[#This Row],[Vertex 1]],GroupVertices[Vertex],0)),1,1,"")</f>
        <v>3</v>
      </c>
      <c r="AG231" s="79" t="str">
        <f>REPLACE(INDEX(GroupVertices[Group],MATCH(Edges[[#This Row],[Vertex 2]],GroupVertices[Vertex],0)),1,1,"")</f>
        <v>3</v>
      </c>
      <c r="AH231" s="34"/>
      <c r="AI231" s="34"/>
      <c r="AJ231" s="34"/>
      <c r="AK231" s="34"/>
      <c r="AL231" s="34"/>
      <c r="AM231" s="34"/>
      <c r="AN231" s="34"/>
      <c r="AO231" s="34"/>
      <c r="AP231" s="34"/>
    </row>
    <row r="232" spans="1:42" ht="15">
      <c r="A232" s="65" t="s">
        <v>574</v>
      </c>
      <c r="B232" s="65" t="s">
        <v>577</v>
      </c>
      <c r="C232" s="66" t="s">
        <v>1833</v>
      </c>
      <c r="D232" s="67">
        <v>2</v>
      </c>
      <c r="E232" s="68"/>
      <c r="F232" s="69">
        <v>32</v>
      </c>
      <c r="G232" s="66"/>
      <c r="H232" s="70"/>
      <c r="I232" s="71"/>
      <c r="J232" s="71"/>
      <c r="K232" s="34" t="s">
        <v>66</v>
      </c>
      <c r="L232" s="78">
        <v>232</v>
      </c>
      <c r="M232" s="78"/>
      <c r="N232" s="73"/>
      <c r="O232" s="80" t="s">
        <v>211</v>
      </c>
      <c r="P232" s="80" t="s">
        <v>212</v>
      </c>
      <c r="Q232" s="80" t="s">
        <v>835</v>
      </c>
      <c r="R232" s="80" t="s">
        <v>574</v>
      </c>
      <c r="S232" s="80" t="s">
        <v>1036</v>
      </c>
      <c r="T232" s="82" t="str">
        <f>HYPERLINK("http://www.youtube.com/channel/UC050KnRA2lffzEsB1h8uQCw")</f>
        <v>http://www.youtube.com/channel/UC050KnRA2lffzEsB1h8uQCw</v>
      </c>
      <c r="U232" s="80" t="s">
        <v>1162</v>
      </c>
      <c r="V232" s="80" t="s">
        <v>1217</v>
      </c>
      <c r="W232" s="82" t="str">
        <f>HYPERLINK("https://www.youtube.com/watch?v=DBPmRIZMIFY")</f>
        <v>https://www.youtube.com/watch?v=DBPmRIZMIFY</v>
      </c>
      <c r="X232" s="80" t="s">
        <v>213</v>
      </c>
      <c r="Y232" s="80">
        <v>0</v>
      </c>
      <c r="Z232" s="84">
        <v>44003.14917824074</v>
      </c>
      <c r="AA232" s="84">
        <v>44003.14917824074</v>
      </c>
      <c r="AB232" s="80"/>
      <c r="AC232" s="80"/>
      <c r="AD232" s="80"/>
      <c r="AE232" s="80">
        <v>3</v>
      </c>
      <c r="AF232" s="79" t="str">
        <f>REPLACE(INDEX(GroupVertices[Group],MATCH(Edges[[#This Row],[Vertex 1]],GroupVertices[Vertex],0)),1,1,"")</f>
        <v>3</v>
      </c>
      <c r="AG232" s="79" t="str">
        <f>REPLACE(INDEX(GroupVertices[Group],MATCH(Edges[[#This Row],[Vertex 2]],GroupVertices[Vertex],0)),1,1,"")</f>
        <v>3</v>
      </c>
      <c r="AH232" s="34"/>
      <c r="AI232" s="34"/>
      <c r="AJ232" s="34"/>
      <c r="AK232" s="34"/>
      <c r="AL232" s="34"/>
      <c r="AM232" s="34"/>
      <c r="AN232" s="34"/>
      <c r="AO232" s="34"/>
      <c r="AP232" s="34"/>
    </row>
    <row r="233" spans="1:42" ht="15">
      <c r="A233" s="65" t="s">
        <v>577</v>
      </c>
      <c r="B233" s="65" t="s">
        <v>574</v>
      </c>
      <c r="C233" s="66" t="s">
        <v>1833</v>
      </c>
      <c r="D233" s="67">
        <v>2</v>
      </c>
      <c r="E233" s="68"/>
      <c r="F233" s="69">
        <v>32</v>
      </c>
      <c r="G233" s="66"/>
      <c r="H233" s="70"/>
      <c r="I233" s="71"/>
      <c r="J233" s="71"/>
      <c r="K233" s="34" t="s">
        <v>66</v>
      </c>
      <c r="L233" s="78">
        <v>233</v>
      </c>
      <c r="M233" s="78"/>
      <c r="N233" s="73"/>
      <c r="O233" s="80" t="s">
        <v>210</v>
      </c>
      <c r="P233" s="80" t="s">
        <v>196</v>
      </c>
      <c r="Q233" s="80" t="s">
        <v>836</v>
      </c>
      <c r="R233" s="80" t="s">
        <v>577</v>
      </c>
      <c r="S233" s="80" t="s">
        <v>1039</v>
      </c>
      <c r="T233" s="82" t="str">
        <f>HYPERLINK("http://www.youtube.com/channel/UCxmSF_xV8EqQkoPYJL0bQLA")</f>
        <v>http://www.youtube.com/channel/UCxmSF_xV8EqQkoPYJL0bQLA</v>
      </c>
      <c r="U233" s="80"/>
      <c r="V233" s="80" t="s">
        <v>1217</v>
      </c>
      <c r="W233" s="82" t="str">
        <f>HYPERLINK("https://www.youtube.com/watch?v=DBPmRIZMIFY")</f>
        <v>https://www.youtube.com/watch?v=DBPmRIZMIFY</v>
      </c>
      <c r="X233" s="80" t="s">
        <v>213</v>
      </c>
      <c r="Y233" s="80">
        <v>0</v>
      </c>
      <c r="Z233" s="84">
        <v>44002.56201388889</v>
      </c>
      <c r="AA233" s="84">
        <v>44002.56201388889</v>
      </c>
      <c r="AB233" s="80"/>
      <c r="AC233" s="80"/>
      <c r="AD233" s="80"/>
      <c r="AE233" s="80">
        <v>2</v>
      </c>
      <c r="AF233" s="79" t="str">
        <f>REPLACE(INDEX(GroupVertices[Group],MATCH(Edges[[#This Row],[Vertex 1]],GroupVertices[Vertex],0)),1,1,"")</f>
        <v>3</v>
      </c>
      <c r="AG233" s="79" t="str">
        <f>REPLACE(INDEX(GroupVertices[Group],MATCH(Edges[[#This Row],[Vertex 2]],GroupVertices[Vertex],0)),1,1,"")</f>
        <v>3</v>
      </c>
      <c r="AH233" s="34"/>
      <c r="AI233" s="34"/>
      <c r="AJ233" s="34"/>
      <c r="AK233" s="34"/>
      <c r="AL233" s="34"/>
      <c r="AM233" s="34"/>
      <c r="AN233" s="34"/>
      <c r="AO233" s="34"/>
      <c r="AP233" s="34"/>
    </row>
    <row r="234" spans="1:42" ht="15">
      <c r="A234" s="65" t="s">
        <v>578</v>
      </c>
      <c r="B234" s="65" t="s">
        <v>579</v>
      </c>
      <c r="C234" s="66" t="s">
        <v>1853</v>
      </c>
      <c r="D234" s="67">
        <v>2</v>
      </c>
      <c r="E234" s="68"/>
      <c r="F234" s="69">
        <v>32</v>
      </c>
      <c r="G234" s="66"/>
      <c r="H234" s="70"/>
      <c r="I234" s="71"/>
      <c r="J234" s="71"/>
      <c r="K234" s="34" t="s">
        <v>66</v>
      </c>
      <c r="L234" s="78">
        <v>234</v>
      </c>
      <c r="M234" s="78"/>
      <c r="N234" s="73"/>
      <c r="O234" s="80" t="s">
        <v>211</v>
      </c>
      <c r="P234" s="80" t="s">
        <v>212</v>
      </c>
      <c r="Q234" s="80" t="s">
        <v>837</v>
      </c>
      <c r="R234" s="80" t="s">
        <v>578</v>
      </c>
      <c r="S234" s="80" t="s">
        <v>1040</v>
      </c>
      <c r="T234" s="82" t="str">
        <f>HYPERLINK("http://www.youtube.com/channel/UC5fs7PookxGfDPTo-RU0ReQ")</f>
        <v>http://www.youtube.com/channel/UC5fs7PookxGfDPTo-RU0ReQ</v>
      </c>
      <c r="U234" s="80" t="s">
        <v>1163</v>
      </c>
      <c r="V234" s="80" t="s">
        <v>1218</v>
      </c>
      <c r="W234" s="82" t="str">
        <f>HYPERLINK("https://www.youtube.com/watch?v=E6R3U3d90Zs")</f>
        <v>https://www.youtube.com/watch?v=E6R3U3d90Zs</v>
      </c>
      <c r="X234" s="80" t="s">
        <v>213</v>
      </c>
      <c r="Y234" s="80">
        <v>0</v>
      </c>
      <c r="Z234" s="84">
        <v>44002.42689814815</v>
      </c>
      <c r="AA234" s="84">
        <v>44002.42689814815</v>
      </c>
      <c r="AB234" s="80" t="s">
        <v>1243</v>
      </c>
      <c r="AC234" s="80" t="s">
        <v>215</v>
      </c>
      <c r="AD234" s="80"/>
      <c r="AE234" s="80">
        <v>1</v>
      </c>
      <c r="AF234" s="79" t="str">
        <f>REPLACE(INDEX(GroupVertices[Group],MATCH(Edges[[#This Row],[Vertex 1]],GroupVertices[Vertex],0)),1,1,"")</f>
        <v>3</v>
      </c>
      <c r="AG234" s="79" t="str">
        <f>REPLACE(INDEX(GroupVertices[Group],MATCH(Edges[[#This Row],[Vertex 2]],GroupVertices[Vertex],0)),1,1,"")</f>
        <v>3</v>
      </c>
      <c r="AH234" s="34"/>
      <c r="AI234" s="34"/>
      <c r="AJ234" s="34"/>
      <c r="AK234" s="34"/>
      <c r="AL234" s="34"/>
      <c r="AM234" s="34"/>
      <c r="AN234" s="34"/>
      <c r="AO234" s="34"/>
      <c r="AP234" s="34"/>
    </row>
    <row r="235" spans="1:42" ht="15">
      <c r="A235" s="65" t="s">
        <v>579</v>
      </c>
      <c r="B235" s="65" t="s">
        <v>578</v>
      </c>
      <c r="C235" s="66" t="s">
        <v>1853</v>
      </c>
      <c r="D235" s="67">
        <v>2</v>
      </c>
      <c r="E235" s="68"/>
      <c r="F235" s="69">
        <v>32</v>
      </c>
      <c r="G235" s="66"/>
      <c r="H235" s="70"/>
      <c r="I235" s="71"/>
      <c r="J235" s="71"/>
      <c r="K235" s="34" t="s">
        <v>66</v>
      </c>
      <c r="L235" s="78">
        <v>235</v>
      </c>
      <c r="M235" s="78"/>
      <c r="N235" s="73"/>
      <c r="O235" s="80" t="s">
        <v>210</v>
      </c>
      <c r="P235" s="80" t="s">
        <v>196</v>
      </c>
      <c r="Q235" s="80" t="s">
        <v>838</v>
      </c>
      <c r="R235" s="80" t="s">
        <v>579</v>
      </c>
      <c r="S235" s="80" t="s">
        <v>1041</v>
      </c>
      <c r="T235" s="82" t="str">
        <f>HYPERLINK("http://www.youtube.com/channel/UCHSzVUk8Rnb_8pTm2tFIpqw")</f>
        <v>http://www.youtube.com/channel/UCHSzVUk8Rnb_8pTm2tFIpqw</v>
      </c>
      <c r="U235" s="80"/>
      <c r="V235" s="80" t="s">
        <v>1218</v>
      </c>
      <c r="W235" s="82" t="str">
        <f>HYPERLINK("https://www.youtube.com/watch?v=E6R3U3d90Zs")</f>
        <v>https://www.youtube.com/watch?v=E6R3U3d90Zs</v>
      </c>
      <c r="X235" s="80" t="s">
        <v>213</v>
      </c>
      <c r="Y235" s="80">
        <v>0</v>
      </c>
      <c r="Z235" s="84">
        <v>44002.425208333334</v>
      </c>
      <c r="AA235" s="84">
        <v>44002.425208333334</v>
      </c>
      <c r="AB235" s="80"/>
      <c r="AC235" s="80"/>
      <c r="AD235" s="80"/>
      <c r="AE235" s="80">
        <v>1</v>
      </c>
      <c r="AF235" s="79" t="str">
        <f>REPLACE(INDEX(GroupVertices[Group],MATCH(Edges[[#This Row],[Vertex 1]],GroupVertices[Vertex],0)),1,1,"")</f>
        <v>3</v>
      </c>
      <c r="AG235" s="79" t="str">
        <f>REPLACE(INDEX(GroupVertices[Group],MATCH(Edges[[#This Row],[Vertex 2]],GroupVertices[Vertex],0)),1,1,"")</f>
        <v>3</v>
      </c>
      <c r="AH235" s="34"/>
      <c r="AI235" s="34"/>
      <c r="AJ235" s="34"/>
      <c r="AK235" s="34"/>
      <c r="AL235" s="34"/>
      <c r="AM235" s="34"/>
      <c r="AN235" s="34"/>
      <c r="AO235" s="34"/>
      <c r="AP235" s="34"/>
    </row>
    <row r="236" spans="1:42" ht="15">
      <c r="A236" s="65" t="s">
        <v>578</v>
      </c>
      <c r="B236" s="65" t="s">
        <v>580</v>
      </c>
      <c r="C236" s="66" t="s">
        <v>1853</v>
      </c>
      <c r="D236" s="67">
        <v>2</v>
      </c>
      <c r="E236" s="68"/>
      <c r="F236" s="69">
        <v>32</v>
      </c>
      <c r="G236" s="66"/>
      <c r="H236" s="70"/>
      <c r="I236" s="71"/>
      <c r="J236" s="71"/>
      <c r="K236" s="34" t="s">
        <v>66</v>
      </c>
      <c r="L236" s="78">
        <v>236</v>
      </c>
      <c r="M236" s="78"/>
      <c r="N236" s="73"/>
      <c r="O236" s="80" t="s">
        <v>211</v>
      </c>
      <c r="P236" s="80" t="s">
        <v>212</v>
      </c>
      <c r="Q236" s="80" t="s">
        <v>839</v>
      </c>
      <c r="R236" s="80" t="s">
        <v>578</v>
      </c>
      <c r="S236" s="80" t="s">
        <v>1040</v>
      </c>
      <c r="T236" s="82" t="str">
        <f>HYPERLINK("http://www.youtube.com/channel/UC5fs7PookxGfDPTo-RU0ReQ")</f>
        <v>http://www.youtube.com/channel/UC5fs7PookxGfDPTo-RU0ReQ</v>
      </c>
      <c r="U236" s="80" t="s">
        <v>1164</v>
      </c>
      <c r="V236" s="80" t="s">
        <v>1218</v>
      </c>
      <c r="W236" s="82" t="str">
        <f>HYPERLINK("https://www.youtube.com/watch?v=E6R3U3d90Zs")</f>
        <v>https://www.youtube.com/watch?v=E6R3U3d90Zs</v>
      </c>
      <c r="X236" s="80" t="s">
        <v>213</v>
      </c>
      <c r="Y236" s="80">
        <v>1</v>
      </c>
      <c r="Z236" s="84">
        <v>44002.53564814815</v>
      </c>
      <c r="AA236" s="84">
        <v>44002.53564814815</v>
      </c>
      <c r="AB236" s="80"/>
      <c r="AC236" s="80"/>
      <c r="AD236" s="80"/>
      <c r="AE236" s="80">
        <v>1</v>
      </c>
      <c r="AF236" s="79" t="str">
        <f>REPLACE(INDEX(GroupVertices[Group],MATCH(Edges[[#This Row],[Vertex 1]],GroupVertices[Vertex],0)),1,1,"")</f>
        <v>3</v>
      </c>
      <c r="AG236" s="79" t="str">
        <f>REPLACE(INDEX(GroupVertices[Group],MATCH(Edges[[#This Row],[Vertex 2]],GroupVertices[Vertex],0)),1,1,"")</f>
        <v>3</v>
      </c>
      <c r="AH236" s="34"/>
      <c r="AI236" s="34"/>
      <c r="AJ236" s="34"/>
      <c r="AK236" s="34"/>
      <c r="AL236" s="34"/>
      <c r="AM236" s="34"/>
      <c r="AN236" s="34"/>
      <c r="AO236" s="34"/>
      <c r="AP236" s="34"/>
    </row>
    <row r="237" spans="1:42" ht="15">
      <c r="A237" s="65" t="s">
        <v>580</v>
      </c>
      <c r="B237" s="65" t="s">
        <v>578</v>
      </c>
      <c r="C237" s="66" t="s">
        <v>1853</v>
      </c>
      <c r="D237" s="67">
        <v>2</v>
      </c>
      <c r="E237" s="68"/>
      <c r="F237" s="69">
        <v>32</v>
      </c>
      <c r="G237" s="66"/>
      <c r="H237" s="70"/>
      <c r="I237" s="71"/>
      <c r="J237" s="71"/>
      <c r="K237" s="34" t="s">
        <v>66</v>
      </c>
      <c r="L237" s="78">
        <v>237</v>
      </c>
      <c r="M237" s="78"/>
      <c r="N237" s="73"/>
      <c r="O237" s="80" t="s">
        <v>210</v>
      </c>
      <c r="P237" s="80" t="s">
        <v>196</v>
      </c>
      <c r="Q237" s="80" t="s">
        <v>840</v>
      </c>
      <c r="R237" s="80" t="s">
        <v>580</v>
      </c>
      <c r="S237" s="80" t="s">
        <v>1042</v>
      </c>
      <c r="T237" s="82" t="str">
        <f>HYPERLINK("http://www.youtube.com/channel/UCfhu72jDk7Uxmifji_8B2qg")</f>
        <v>http://www.youtube.com/channel/UCfhu72jDk7Uxmifji_8B2qg</v>
      </c>
      <c r="U237" s="80"/>
      <c r="V237" s="80" t="s">
        <v>1218</v>
      </c>
      <c r="W237" s="82" t="str">
        <f>HYPERLINK("https://www.youtube.com/watch?v=E6R3U3d90Zs")</f>
        <v>https://www.youtube.com/watch?v=E6R3U3d90Zs</v>
      </c>
      <c r="X237" s="80" t="s">
        <v>213</v>
      </c>
      <c r="Y237" s="80">
        <v>0</v>
      </c>
      <c r="Z237" s="84">
        <v>44002.53366898148</v>
      </c>
      <c r="AA237" s="84">
        <v>44002.53366898148</v>
      </c>
      <c r="AB237" s="80"/>
      <c r="AC237" s="80"/>
      <c r="AD237" s="80"/>
      <c r="AE237" s="80">
        <v>1</v>
      </c>
      <c r="AF237" s="79" t="str">
        <f>REPLACE(INDEX(GroupVertices[Group],MATCH(Edges[[#This Row],[Vertex 1]],GroupVertices[Vertex],0)),1,1,"")</f>
        <v>3</v>
      </c>
      <c r="AG237" s="79" t="str">
        <f>REPLACE(INDEX(GroupVertices[Group],MATCH(Edges[[#This Row],[Vertex 2]],GroupVertices[Vertex],0)),1,1,"")</f>
        <v>3</v>
      </c>
      <c r="AH237" s="34"/>
      <c r="AI237" s="34"/>
      <c r="AJ237" s="34"/>
      <c r="AK237" s="34"/>
      <c r="AL237" s="34"/>
      <c r="AM237" s="34"/>
      <c r="AN237" s="34"/>
      <c r="AO237" s="34"/>
      <c r="AP237" s="34"/>
    </row>
    <row r="238" spans="1:42" ht="15">
      <c r="A238" s="65" t="s">
        <v>578</v>
      </c>
      <c r="B238" s="65" t="s">
        <v>581</v>
      </c>
      <c r="C238" s="66" t="s">
        <v>1853</v>
      </c>
      <c r="D238" s="67">
        <v>2</v>
      </c>
      <c r="E238" s="68"/>
      <c r="F238" s="69">
        <v>32</v>
      </c>
      <c r="G238" s="66"/>
      <c r="H238" s="70"/>
      <c r="I238" s="71"/>
      <c r="J238" s="71"/>
      <c r="K238" s="34" t="s">
        <v>66</v>
      </c>
      <c r="L238" s="78">
        <v>238</v>
      </c>
      <c r="M238" s="78"/>
      <c r="N238" s="73"/>
      <c r="O238" s="80" t="s">
        <v>211</v>
      </c>
      <c r="P238" s="80" t="s">
        <v>212</v>
      </c>
      <c r="Q238" s="80" t="s">
        <v>841</v>
      </c>
      <c r="R238" s="80" t="s">
        <v>578</v>
      </c>
      <c r="S238" s="80" t="s">
        <v>1040</v>
      </c>
      <c r="T238" s="82" t="str">
        <f>HYPERLINK("http://www.youtube.com/channel/UC5fs7PookxGfDPTo-RU0ReQ")</f>
        <v>http://www.youtube.com/channel/UC5fs7PookxGfDPTo-RU0ReQ</v>
      </c>
      <c r="U238" s="80" t="s">
        <v>1165</v>
      </c>
      <c r="V238" s="80" t="s">
        <v>1218</v>
      </c>
      <c r="W238" s="82" t="str">
        <f>HYPERLINK("https://www.youtube.com/watch?v=E6R3U3d90Zs")</f>
        <v>https://www.youtube.com/watch?v=E6R3U3d90Zs</v>
      </c>
      <c r="X238" s="80" t="s">
        <v>213</v>
      </c>
      <c r="Y238" s="80">
        <v>0</v>
      </c>
      <c r="Z238" s="84">
        <v>44002.538252314815</v>
      </c>
      <c r="AA238" s="84">
        <v>44002.538252314815</v>
      </c>
      <c r="AB238" s="80"/>
      <c r="AC238" s="80"/>
      <c r="AD238" s="80"/>
      <c r="AE238" s="80">
        <v>1</v>
      </c>
      <c r="AF238" s="79" t="str">
        <f>REPLACE(INDEX(GroupVertices[Group],MATCH(Edges[[#This Row],[Vertex 1]],GroupVertices[Vertex],0)),1,1,"")</f>
        <v>3</v>
      </c>
      <c r="AG238" s="79" t="str">
        <f>REPLACE(INDEX(GroupVertices[Group],MATCH(Edges[[#This Row],[Vertex 2]],GroupVertices[Vertex],0)),1,1,"")</f>
        <v>3</v>
      </c>
      <c r="AH238" s="34"/>
      <c r="AI238" s="34"/>
      <c r="AJ238" s="34"/>
      <c r="AK238" s="34"/>
      <c r="AL238" s="34"/>
      <c r="AM238" s="34"/>
      <c r="AN238" s="34"/>
      <c r="AO238" s="34"/>
      <c r="AP238" s="34"/>
    </row>
    <row r="239" spans="1:42" ht="15">
      <c r="A239" s="65" t="s">
        <v>581</v>
      </c>
      <c r="B239" s="65" t="s">
        <v>578</v>
      </c>
      <c r="C239" s="66" t="s">
        <v>1853</v>
      </c>
      <c r="D239" s="67">
        <v>2</v>
      </c>
      <c r="E239" s="68"/>
      <c r="F239" s="69">
        <v>32</v>
      </c>
      <c r="G239" s="66"/>
      <c r="H239" s="70"/>
      <c r="I239" s="71"/>
      <c r="J239" s="71"/>
      <c r="K239" s="34" t="s">
        <v>66</v>
      </c>
      <c r="L239" s="78">
        <v>239</v>
      </c>
      <c r="M239" s="78"/>
      <c r="N239" s="73"/>
      <c r="O239" s="80" t="s">
        <v>210</v>
      </c>
      <c r="P239" s="80" t="s">
        <v>196</v>
      </c>
      <c r="Q239" s="80" t="s">
        <v>842</v>
      </c>
      <c r="R239" s="80" t="s">
        <v>581</v>
      </c>
      <c r="S239" s="80" t="s">
        <v>1043</v>
      </c>
      <c r="T239" s="82" t="str">
        <f>HYPERLINK("http://www.youtube.com/channel/UCyCaC7wGxDxT93063_XMMQw")</f>
        <v>http://www.youtube.com/channel/UCyCaC7wGxDxT93063_XMMQw</v>
      </c>
      <c r="U239" s="80"/>
      <c r="V239" s="80" t="s">
        <v>1218</v>
      </c>
      <c r="W239" s="82" t="str">
        <f>HYPERLINK("https://www.youtube.com/watch?v=E6R3U3d90Zs")</f>
        <v>https://www.youtube.com/watch?v=E6R3U3d90Zs</v>
      </c>
      <c r="X239" s="80" t="s">
        <v>213</v>
      </c>
      <c r="Y239" s="80">
        <v>0</v>
      </c>
      <c r="Z239" s="84">
        <v>44002.53638888889</v>
      </c>
      <c r="AA239" s="84">
        <v>44002.53638888889</v>
      </c>
      <c r="AB239" s="80"/>
      <c r="AC239" s="80"/>
      <c r="AD239" s="80"/>
      <c r="AE239" s="80">
        <v>1</v>
      </c>
      <c r="AF239" s="79" t="str">
        <f>REPLACE(INDEX(GroupVertices[Group],MATCH(Edges[[#This Row],[Vertex 1]],GroupVertices[Vertex],0)),1,1,"")</f>
        <v>3</v>
      </c>
      <c r="AG239" s="79" t="str">
        <f>REPLACE(INDEX(GroupVertices[Group],MATCH(Edges[[#This Row],[Vertex 2]],GroupVertices[Vertex],0)),1,1,"")</f>
        <v>3</v>
      </c>
      <c r="AH239" s="34"/>
      <c r="AI239" s="34"/>
      <c r="AJ239" s="34"/>
      <c r="AK239" s="34"/>
      <c r="AL239" s="34"/>
      <c r="AM239" s="34"/>
      <c r="AN239" s="34"/>
      <c r="AO239" s="34"/>
      <c r="AP239" s="34"/>
    </row>
    <row r="240" spans="1:42" ht="15">
      <c r="A240" s="65" t="s">
        <v>582</v>
      </c>
      <c r="B240" s="65" t="s">
        <v>583</v>
      </c>
      <c r="C240" s="66" t="s">
        <v>1853</v>
      </c>
      <c r="D240" s="67">
        <v>2</v>
      </c>
      <c r="E240" s="68"/>
      <c r="F240" s="69">
        <v>32</v>
      </c>
      <c r="G240" s="66"/>
      <c r="H240" s="70"/>
      <c r="I240" s="71"/>
      <c r="J240" s="71"/>
      <c r="K240" s="34" t="s">
        <v>66</v>
      </c>
      <c r="L240" s="78">
        <v>240</v>
      </c>
      <c r="M240" s="78"/>
      <c r="N240" s="73"/>
      <c r="O240" s="80" t="s">
        <v>211</v>
      </c>
      <c r="P240" s="80" t="s">
        <v>212</v>
      </c>
      <c r="Q240" s="80" t="s">
        <v>829</v>
      </c>
      <c r="R240" s="80" t="s">
        <v>582</v>
      </c>
      <c r="S240" s="80" t="s">
        <v>1044</v>
      </c>
      <c r="T240" s="82" t="str">
        <f>HYPERLINK("http://www.youtube.com/channel/UCjg2kAW7dd0nmCmHrCSVUng")</f>
        <v>http://www.youtube.com/channel/UCjg2kAW7dd0nmCmHrCSVUng</v>
      </c>
      <c r="U240" s="80" t="s">
        <v>1166</v>
      </c>
      <c r="V240" s="80" t="s">
        <v>1219</v>
      </c>
      <c r="W240" s="82" t="str">
        <f>HYPERLINK("https://www.youtube.com/watch?v=TgZnMmeXoDI")</f>
        <v>https://www.youtube.com/watch?v=TgZnMmeXoDI</v>
      </c>
      <c r="X240" s="80" t="s">
        <v>213</v>
      </c>
      <c r="Y240" s="80">
        <v>1</v>
      </c>
      <c r="Z240" s="84">
        <v>44002.59032407407</v>
      </c>
      <c r="AA240" s="84">
        <v>44002.59032407407</v>
      </c>
      <c r="AB240" s="80"/>
      <c r="AC240" s="80"/>
      <c r="AD240" s="80"/>
      <c r="AE240" s="80">
        <v>1</v>
      </c>
      <c r="AF240" s="79" t="str">
        <f>REPLACE(INDEX(GroupVertices[Group],MATCH(Edges[[#This Row],[Vertex 1]],GroupVertices[Vertex],0)),1,1,"")</f>
        <v>3</v>
      </c>
      <c r="AG240" s="79" t="str">
        <f>REPLACE(INDEX(GroupVertices[Group],MATCH(Edges[[#This Row],[Vertex 2]],GroupVertices[Vertex],0)),1,1,"")</f>
        <v>3</v>
      </c>
      <c r="AH240" s="34"/>
      <c r="AI240" s="34"/>
      <c r="AJ240" s="34"/>
      <c r="AK240" s="34"/>
      <c r="AL240" s="34"/>
      <c r="AM240" s="34"/>
      <c r="AN240" s="34"/>
      <c r="AO240" s="34"/>
      <c r="AP240" s="34"/>
    </row>
    <row r="241" spans="1:42" ht="15">
      <c r="A241" s="65" t="s">
        <v>583</v>
      </c>
      <c r="B241" s="65" t="s">
        <v>582</v>
      </c>
      <c r="C241" s="66" t="s">
        <v>1853</v>
      </c>
      <c r="D241" s="67">
        <v>2</v>
      </c>
      <c r="E241" s="68"/>
      <c r="F241" s="69">
        <v>32</v>
      </c>
      <c r="G241" s="66"/>
      <c r="H241" s="70"/>
      <c r="I241" s="71"/>
      <c r="J241" s="71"/>
      <c r="K241" s="34" t="s">
        <v>66</v>
      </c>
      <c r="L241" s="78">
        <v>241</v>
      </c>
      <c r="M241" s="78"/>
      <c r="N241" s="73"/>
      <c r="O241" s="80" t="s">
        <v>210</v>
      </c>
      <c r="P241" s="80" t="s">
        <v>196</v>
      </c>
      <c r="Q241" s="80" t="s">
        <v>843</v>
      </c>
      <c r="R241" s="80" t="s">
        <v>583</v>
      </c>
      <c r="S241" s="80" t="s">
        <v>1045</v>
      </c>
      <c r="T241" s="82" t="str">
        <f>HYPERLINK("http://www.youtube.com/channel/UCw9VbBLCPPDHCU8ocVaYbyQ")</f>
        <v>http://www.youtube.com/channel/UCw9VbBLCPPDHCU8ocVaYbyQ</v>
      </c>
      <c r="U241" s="80"/>
      <c r="V241" s="80" t="s">
        <v>1219</v>
      </c>
      <c r="W241" s="82" t="str">
        <f>HYPERLINK("https://www.youtube.com/watch?v=TgZnMmeXoDI")</f>
        <v>https://www.youtube.com/watch?v=TgZnMmeXoDI</v>
      </c>
      <c r="X241" s="80" t="s">
        <v>213</v>
      </c>
      <c r="Y241" s="80">
        <v>1</v>
      </c>
      <c r="Z241" s="84">
        <v>44002.508414351854</v>
      </c>
      <c r="AA241" s="84">
        <v>44002.508414351854</v>
      </c>
      <c r="AB241" s="80"/>
      <c r="AC241" s="80"/>
      <c r="AD241" s="80"/>
      <c r="AE241" s="80">
        <v>1</v>
      </c>
      <c r="AF241" s="79" t="str">
        <f>REPLACE(INDEX(GroupVertices[Group],MATCH(Edges[[#This Row],[Vertex 1]],GroupVertices[Vertex],0)),1,1,"")</f>
        <v>3</v>
      </c>
      <c r="AG241" s="79" t="str">
        <f>REPLACE(INDEX(GroupVertices[Group],MATCH(Edges[[#This Row],[Vertex 2]],GroupVertices[Vertex],0)),1,1,"")</f>
        <v>3</v>
      </c>
      <c r="AH241" s="34"/>
      <c r="AI241" s="34"/>
      <c r="AJ241" s="34"/>
      <c r="AK241" s="34"/>
      <c r="AL241" s="34"/>
      <c r="AM241" s="34"/>
      <c r="AN241" s="34"/>
      <c r="AO241" s="34"/>
      <c r="AP241" s="34"/>
    </row>
    <row r="242" spans="1:42" ht="15">
      <c r="A242" s="65" t="s">
        <v>578</v>
      </c>
      <c r="B242" s="65" t="s">
        <v>584</v>
      </c>
      <c r="C242" s="66" t="s">
        <v>1833</v>
      </c>
      <c r="D242" s="67">
        <v>2</v>
      </c>
      <c r="E242" s="68"/>
      <c r="F242" s="69">
        <v>32</v>
      </c>
      <c r="G242" s="66"/>
      <c r="H242" s="70"/>
      <c r="I242" s="71"/>
      <c r="J242" s="71"/>
      <c r="K242" s="34" t="s">
        <v>66</v>
      </c>
      <c r="L242" s="78">
        <v>242</v>
      </c>
      <c r="M242" s="78"/>
      <c r="N242" s="73"/>
      <c r="O242" s="80" t="s">
        <v>211</v>
      </c>
      <c r="P242" s="80" t="s">
        <v>212</v>
      </c>
      <c r="Q242" s="80" t="s">
        <v>844</v>
      </c>
      <c r="R242" s="80" t="s">
        <v>578</v>
      </c>
      <c r="S242" s="80" t="s">
        <v>1040</v>
      </c>
      <c r="T242" s="82" t="str">
        <f>HYPERLINK("http://www.youtube.com/channel/UC5fs7PookxGfDPTo-RU0ReQ")</f>
        <v>http://www.youtube.com/channel/UC5fs7PookxGfDPTo-RU0ReQ</v>
      </c>
      <c r="U242" s="80" t="s">
        <v>1167</v>
      </c>
      <c r="V242" s="80" t="s">
        <v>1220</v>
      </c>
      <c r="W242" s="82" t="str">
        <f>HYPERLINK("https://www.youtube.com/watch?v=YXVWwpLmfr0")</f>
        <v>https://www.youtube.com/watch?v=YXVWwpLmfr0</v>
      </c>
      <c r="X242" s="80" t="s">
        <v>213</v>
      </c>
      <c r="Y242" s="80">
        <v>0</v>
      </c>
      <c r="Z242" s="84">
        <v>44002.61572916667</v>
      </c>
      <c r="AA242" s="84">
        <v>44002.61572916667</v>
      </c>
      <c r="AB242" s="80"/>
      <c r="AC242" s="80"/>
      <c r="AD242" s="80"/>
      <c r="AE242" s="80">
        <v>2</v>
      </c>
      <c r="AF242" s="79" t="str">
        <f>REPLACE(INDEX(GroupVertices[Group],MATCH(Edges[[#This Row],[Vertex 1]],GroupVertices[Vertex],0)),1,1,"")</f>
        <v>3</v>
      </c>
      <c r="AG242" s="79" t="str">
        <f>REPLACE(INDEX(GroupVertices[Group],MATCH(Edges[[#This Row],[Vertex 2]],GroupVertices[Vertex],0)),1,1,"")</f>
        <v>3</v>
      </c>
      <c r="AH242" s="34"/>
      <c r="AI242" s="34"/>
      <c r="AJ242" s="34"/>
      <c r="AK242" s="34"/>
      <c r="AL242" s="34"/>
      <c r="AM242" s="34"/>
      <c r="AN242" s="34"/>
      <c r="AO242" s="34"/>
      <c r="AP242" s="34"/>
    </row>
    <row r="243" spans="1:42" ht="15">
      <c r="A243" s="65" t="s">
        <v>584</v>
      </c>
      <c r="B243" s="65" t="s">
        <v>584</v>
      </c>
      <c r="C243" s="66" t="s">
        <v>1833</v>
      </c>
      <c r="D243" s="67">
        <v>2</v>
      </c>
      <c r="E243" s="68"/>
      <c r="F243" s="69">
        <v>32</v>
      </c>
      <c r="G243" s="66"/>
      <c r="H243" s="70"/>
      <c r="I243" s="71"/>
      <c r="J243" s="71"/>
      <c r="K243" s="34" t="s">
        <v>65</v>
      </c>
      <c r="L243" s="78">
        <v>243</v>
      </c>
      <c r="M243" s="78"/>
      <c r="N243" s="73"/>
      <c r="O243" s="80" t="s">
        <v>211</v>
      </c>
      <c r="P243" s="80" t="s">
        <v>212</v>
      </c>
      <c r="Q243" s="80" t="s">
        <v>845</v>
      </c>
      <c r="R243" s="80" t="s">
        <v>584</v>
      </c>
      <c r="S243" s="80" t="s">
        <v>1046</v>
      </c>
      <c r="T243" s="82" t="str">
        <f>HYPERLINK("http://www.youtube.com/channel/UC1rRu-VgjGKeuGQmoEs_oag")</f>
        <v>http://www.youtube.com/channel/UC1rRu-VgjGKeuGQmoEs_oag</v>
      </c>
      <c r="U243" s="80" t="s">
        <v>1167</v>
      </c>
      <c r="V243" s="80" t="s">
        <v>1220</v>
      </c>
      <c r="W243" s="82" t="str">
        <f>HYPERLINK("https://www.youtube.com/watch?v=YXVWwpLmfr0")</f>
        <v>https://www.youtube.com/watch?v=YXVWwpLmfr0</v>
      </c>
      <c r="X243" s="80" t="s">
        <v>213</v>
      </c>
      <c r="Y243" s="80">
        <v>0</v>
      </c>
      <c r="Z243" s="84">
        <v>44002.61822916667</v>
      </c>
      <c r="AA243" s="84">
        <v>44002.61822916667</v>
      </c>
      <c r="AB243" s="80"/>
      <c r="AC243" s="80"/>
      <c r="AD243" s="80"/>
      <c r="AE243" s="80">
        <v>2</v>
      </c>
      <c r="AF243" s="79" t="str">
        <f>REPLACE(INDEX(GroupVertices[Group],MATCH(Edges[[#This Row],[Vertex 1]],GroupVertices[Vertex],0)),1,1,"")</f>
        <v>3</v>
      </c>
      <c r="AG243" s="79" t="str">
        <f>REPLACE(INDEX(GroupVertices[Group],MATCH(Edges[[#This Row],[Vertex 2]],GroupVertices[Vertex],0)),1,1,"")</f>
        <v>3</v>
      </c>
      <c r="AH243" s="34"/>
      <c r="AI243" s="34"/>
      <c r="AJ243" s="34"/>
      <c r="AK243" s="34"/>
      <c r="AL243" s="34"/>
      <c r="AM243" s="34"/>
      <c r="AN243" s="34"/>
      <c r="AO243" s="34"/>
      <c r="AP243" s="34"/>
    </row>
    <row r="244" spans="1:42" ht="15">
      <c r="A244" s="65" t="s">
        <v>578</v>
      </c>
      <c r="B244" s="65" t="s">
        <v>584</v>
      </c>
      <c r="C244" s="66" t="s">
        <v>1833</v>
      </c>
      <c r="D244" s="67">
        <v>2</v>
      </c>
      <c r="E244" s="68"/>
      <c r="F244" s="69">
        <v>32</v>
      </c>
      <c r="G244" s="66"/>
      <c r="H244" s="70"/>
      <c r="I244" s="71"/>
      <c r="J244" s="71"/>
      <c r="K244" s="34" t="s">
        <v>66</v>
      </c>
      <c r="L244" s="78">
        <v>244</v>
      </c>
      <c r="M244" s="78"/>
      <c r="N244" s="73"/>
      <c r="O244" s="80" t="s">
        <v>211</v>
      </c>
      <c r="P244" s="80" t="s">
        <v>212</v>
      </c>
      <c r="Q244" s="80" t="s">
        <v>846</v>
      </c>
      <c r="R244" s="80" t="s">
        <v>578</v>
      </c>
      <c r="S244" s="80" t="s">
        <v>1040</v>
      </c>
      <c r="T244" s="82" t="str">
        <f>HYPERLINK("http://www.youtube.com/channel/UC5fs7PookxGfDPTo-RU0ReQ")</f>
        <v>http://www.youtube.com/channel/UC5fs7PookxGfDPTo-RU0ReQ</v>
      </c>
      <c r="U244" s="80" t="s">
        <v>1167</v>
      </c>
      <c r="V244" s="80" t="s">
        <v>1220</v>
      </c>
      <c r="W244" s="82" t="str">
        <f>HYPERLINK("https://www.youtube.com/watch?v=YXVWwpLmfr0")</f>
        <v>https://www.youtube.com/watch?v=YXVWwpLmfr0</v>
      </c>
      <c r="X244" s="80" t="s">
        <v>213</v>
      </c>
      <c r="Y244" s="80">
        <v>0</v>
      </c>
      <c r="Z244" s="84">
        <v>44002.61949074074</v>
      </c>
      <c r="AA244" s="84">
        <v>44002.61949074074</v>
      </c>
      <c r="AB244" s="80"/>
      <c r="AC244" s="80"/>
      <c r="AD244" s="80"/>
      <c r="AE244" s="80">
        <v>2</v>
      </c>
      <c r="AF244" s="79" t="str">
        <f>REPLACE(INDEX(GroupVertices[Group],MATCH(Edges[[#This Row],[Vertex 1]],GroupVertices[Vertex],0)),1,1,"")</f>
        <v>3</v>
      </c>
      <c r="AG244" s="79" t="str">
        <f>REPLACE(INDEX(GroupVertices[Group],MATCH(Edges[[#This Row],[Vertex 2]],GroupVertices[Vertex],0)),1,1,"")</f>
        <v>3</v>
      </c>
      <c r="AH244" s="34"/>
      <c r="AI244" s="34"/>
      <c r="AJ244" s="34"/>
      <c r="AK244" s="34"/>
      <c r="AL244" s="34"/>
      <c r="AM244" s="34"/>
      <c r="AN244" s="34"/>
      <c r="AO244" s="34"/>
      <c r="AP244" s="34"/>
    </row>
    <row r="245" spans="1:42" ht="15">
      <c r="A245" s="65" t="s">
        <v>584</v>
      </c>
      <c r="B245" s="65" t="s">
        <v>578</v>
      </c>
      <c r="C245" s="66" t="s">
        <v>1853</v>
      </c>
      <c r="D245" s="67">
        <v>2</v>
      </c>
      <c r="E245" s="68"/>
      <c r="F245" s="69">
        <v>32</v>
      </c>
      <c r="G245" s="66"/>
      <c r="H245" s="70"/>
      <c r="I245" s="71"/>
      <c r="J245" s="71"/>
      <c r="K245" s="34" t="s">
        <v>66</v>
      </c>
      <c r="L245" s="78">
        <v>245</v>
      </c>
      <c r="M245" s="78"/>
      <c r="N245" s="73"/>
      <c r="O245" s="80" t="s">
        <v>210</v>
      </c>
      <c r="P245" s="80" t="s">
        <v>196</v>
      </c>
      <c r="Q245" s="80" t="s">
        <v>847</v>
      </c>
      <c r="R245" s="80" t="s">
        <v>584</v>
      </c>
      <c r="S245" s="80" t="s">
        <v>1046</v>
      </c>
      <c r="T245" s="82" t="str">
        <f>HYPERLINK("http://www.youtube.com/channel/UC1rRu-VgjGKeuGQmoEs_oag")</f>
        <v>http://www.youtube.com/channel/UC1rRu-VgjGKeuGQmoEs_oag</v>
      </c>
      <c r="U245" s="80"/>
      <c r="V245" s="80" t="s">
        <v>1220</v>
      </c>
      <c r="W245" s="82" t="str">
        <f>HYPERLINK("https://www.youtube.com/watch?v=YXVWwpLmfr0")</f>
        <v>https://www.youtube.com/watch?v=YXVWwpLmfr0</v>
      </c>
      <c r="X245" s="80" t="s">
        <v>213</v>
      </c>
      <c r="Y245" s="80">
        <v>0</v>
      </c>
      <c r="Z245" s="84">
        <v>44002.57528935185</v>
      </c>
      <c r="AA245" s="84">
        <v>44002.57528935185</v>
      </c>
      <c r="AB245" s="80"/>
      <c r="AC245" s="80"/>
      <c r="AD245" s="80"/>
      <c r="AE245" s="80">
        <v>1</v>
      </c>
      <c r="AF245" s="79" t="str">
        <f>REPLACE(INDEX(GroupVertices[Group],MATCH(Edges[[#This Row],[Vertex 1]],GroupVertices[Vertex],0)),1,1,"")</f>
        <v>3</v>
      </c>
      <c r="AG245" s="79" t="str">
        <f>REPLACE(INDEX(GroupVertices[Group],MATCH(Edges[[#This Row],[Vertex 2]],GroupVertices[Vertex],0)),1,1,"")</f>
        <v>3</v>
      </c>
      <c r="AH245" s="34"/>
      <c r="AI245" s="34"/>
      <c r="AJ245" s="34"/>
      <c r="AK245" s="34"/>
      <c r="AL245" s="34"/>
      <c r="AM245" s="34"/>
      <c r="AN245" s="34"/>
      <c r="AO245" s="34"/>
      <c r="AP245" s="34"/>
    </row>
    <row r="246" spans="1:42" ht="15">
      <c r="A246" s="65" t="s">
        <v>582</v>
      </c>
      <c r="B246" s="65" t="s">
        <v>584</v>
      </c>
      <c r="C246" s="66" t="s">
        <v>1853</v>
      </c>
      <c r="D246" s="67">
        <v>2</v>
      </c>
      <c r="E246" s="68"/>
      <c r="F246" s="69">
        <v>32</v>
      </c>
      <c r="G246" s="66"/>
      <c r="H246" s="70"/>
      <c r="I246" s="71"/>
      <c r="J246" s="71"/>
      <c r="K246" s="34" t="s">
        <v>66</v>
      </c>
      <c r="L246" s="78">
        <v>246</v>
      </c>
      <c r="M246" s="78"/>
      <c r="N246" s="73"/>
      <c r="O246" s="80" t="s">
        <v>211</v>
      </c>
      <c r="P246" s="80" t="s">
        <v>212</v>
      </c>
      <c r="Q246" s="80" t="s">
        <v>848</v>
      </c>
      <c r="R246" s="80" t="s">
        <v>582</v>
      </c>
      <c r="S246" s="80" t="s">
        <v>1044</v>
      </c>
      <c r="T246" s="82" t="str">
        <f>HYPERLINK("http://www.youtube.com/channel/UCjg2kAW7dd0nmCmHrCSVUng")</f>
        <v>http://www.youtube.com/channel/UCjg2kAW7dd0nmCmHrCSVUng</v>
      </c>
      <c r="U246" s="80" t="s">
        <v>1168</v>
      </c>
      <c r="V246" s="80" t="s">
        <v>1219</v>
      </c>
      <c r="W246" s="82" t="str">
        <f>HYPERLINK("https://www.youtube.com/watch?v=TgZnMmeXoDI")</f>
        <v>https://www.youtube.com/watch?v=TgZnMmeXoDI</v>
      </c>
      <c r="X246" s="80" t="s">
        <v>213</v>
      </c>
      <c r="Y246" s="80">
        <v>0</v>
      </c>
      <c r="Z246" s="84">
        <v>44002.590208333335</v>
      </c>
      <c r="AA246" s="84">
        <v>44002.590208333335</v>
      </c>
      <c r="AB246" s="80"/>
      <c r="AC246" s="80"/>
      <c r="AD246" s="80"/>
      <c r="AE246" s="80">
        <v>1</v>
      </c>
      <c r="AF246" s="79" t="str">
        <f>REPLACE(INDEX(GroupVertices[Group],MATCH(Edges[[#This Row],[Vertex 1]],GroupVertices[Vertex],0)),1,1,"")</f>
        <v>3</v>
      </c>
      <c r="AG246" s="79" t="str">
        <f>REPLACE(INDEX(GroupVertices[Group],MATCH(Edges[[#This Row],[Vertex 2]],GroupVertices[Vertex],0)),1,1,"")</f>
        <v>3</v>
      </c>
      <c r="AH246" s="34"/>
      <c r="AI246" s="34"/>
      <c r="AJ246" s="34"/>
      <c r="AK246" s="34"/>
      <c r="AL246" s="34"/>
      <c r="AM246" s="34"/>
      <c r="AN246" s="34"/>
      <c r="AO246" s="34"/>
      <c r="AP246" s="34"/>
    </row>
    <row r="247" spans="1:42" ht="15">
      <c r="A247" s="65" t="s">
        <v>584</v>
      </c>
      <c r="B247" s="65" t="s">
        <v>584</v>
      </c>
      <c r="C247" s="66" t="s">
        <v>1833</v>
      </c>
      <c r="D247" s="67">
        <v>2</v>
      </c>
      <c r="E247" s="68"/>
      <c r="F247" s="69">
        <v>32</v>
      </c>
      <c r="G247" s="66"/>
      <c r="H247" s="70"/>
      <c r="I247" s="71"/>
      <c r="J247" s="71"/>
      <c r="K247" s="34" t="s">
        <v>65</v>
      </c>
      <c r="L247" s="78">
        <v>247</v>
      </c>
      <c r="M247" s="78"/>
      <c r="N247" s="73"/>
      <c r="O247" s="80" t="s">
        <v>211</v>
      </c>
      <c r="P247" s="80" t="s">
        <v>212</v>
      </c>
      <c r="Q247" s="80" t="s">
        <v>849</v>
      </c>
      <c r="R247" s="80" t="s">
        <v>584</v>
      </c>
      <c r="S247" s="80" t="s">
        <v>1046</v>
      </c>
      <c r="T247" s="82" t="str">
        <f>HYPERLINK("http://www.youtube.com/channel/UC1rRu-VgjGKeuGQmoEs_oag")</f>
        <v>http://www.youtube.com/channel/UC1rRu-VgjGKeuGQmoEs_oag</v>
      </c>
      <c r="U247" s="80" t="s">
        <v>1168</v>
      </c>
      <c r="V247" s="80" t="s">
        <v>1219</v>
      </c>
      <c r="W247" s="82" t="str">
        <f>HYPERLINK("https://www.youtube.com/watch?v=TgZnMmeXoDI")</f>
        <v>https://www.youtube.com/watch?v=TgZnMmeXoDI</v>
      </c>
      <c r="X247" s="80" t="s">
        <v>213</v>
      </c>
      <c r="Y247" s="80">
        <v>0</v>
      </c>
      <c r="Z247" s="84">
        <v>44002.59240740741</v>
      </c>
      <c r="AA247" s="84">
        <v>44002.59240740741</v>
      </c>
      <c r="AB247" s="80"/>
      <c r="AC247" s="80"/>
      <c r="AD247" s="80"/>
      <c r="AE247" s="80">
        <v>2</v>
      </c>
      <c r="AF247" s="79" t="str">
        <f>REPLACE(INDEX(GroupVertices[Group],MATCH(Edges[[#This Row],[Vertex 1]],GroupVertices[Vertex],0)),1,1,"")</f>
        <v>3</v>
      </c>
      <c r="AG247" s="79" t="str">
        <f>REPLACE(INDEX(GroupVertices[Group],MATCH(Edges[[#This Row],[Vertex 2]],GroupVertices[Vertex],0)),1,1,"")</f>
        <v>3</v>
      </c>
      <c r="AH247" s="34"/>
      <c r="AI247" s="34"/>
      <c r="AJ247" s="34"/>
      <c r="AK247" s="34"/>
      <c r="AL247" s="34"/>
      <c r="AM247" s="34"/>
      <c r="AN247" s="34"/>
      <c r="AO247" s="34"/>
      <c r="AP247" s="34"/>
    </row>
    <row r="248" spans="1:42" ht="15">
      <c r="A248" s="65" t="s">
        <v>584</v>
      </c>
      <c r="B248" s="65" t="s">
        <v>582</v>
      </c>
      <c r="C248" s="66" t="s">
        <v>1853</v>
      </c>
      <c r="D248" s="67">
        <v>2</v>
      </c>
      <c r="E248" s="68"/>
      <c r="F248" s="69">
        <v>32</v>
      </c>
      <c r="G248" s="66"/>
      <c r="H248" s="70"/>
      <c r="I248" s="71"/>
      <c r="J248" s="71"/>
      <c r="K248" s="34" t="s">
        <v>66</v>
      </c>
      <c r="L248" s="78">
        <v>248</v>
      </c>
      <c r="M248" s="78"/>
      <c r="N248" s="73"/>
      <c r="O248" s="80" t="s">
        <v>210</v>
      </c>
      <c r="P248" s="80" t="s">
        <v>196</v>
      </c>
      <c r="Q248" s="80" t="s">
        <v>850</v>
      </c>
      <c r="R248" s="80" t="s">
        <v>584</v>
      </c>
      <c r="S248" s="80" t="s">
        <v>1046</v>
      </c>
      <c r="T248" s="82" t="str">
        <f>HYPERLINK("http://www.youtube.com/channel/UC1rRu-VgjGKeuGQmoEs_oag")</f>
        <v>http://www.youtube.com/channel/UC1rRu-VgjGKeuGQmoEs_oag</v>
      </c>
      <c r="U248" s="80"/>
      <c r="V248" s="80" t="s">
        <v>1219</v>
      </c>
      <c r="W248" s="82" t="str">
        <f>HYPERLINK("https://www.youtube.com/watch?v=TgZnMmeXoDI")</f>
        <v>https://www.youtube.com/watch?v=TgZnMmeXoDI</v>
      </c>
      <c r="X248" s="80" t="s">
        <v>213</v>
      </c>
      <c r="Y248" s="80">
        <v>0</v>
      </c>
      <c r="Z248" s="84">
        <v>44002.52890046296</v>
      </c>
      <c r="AA248" s="84">
        <v>44002.52890046296</v>
      </c>
      <c r="AB248" s="80"/>
      <c r="AC248" s="80"/>
      <c r="AD248" s="80"/>
      <c r="AE248" s="80">
        <v>1</v>
      </c>
      <c r="AF248" s="79" t="str">
        <f>REPLACE(INDEX(GroupVertices[Group],MATCH(Edges[[#This Row],[Vertex 1]],GroupVertices[Vertex],0)),1,1,"")</f>
        <v>3</v>
      </c>
      <c r="AG248" s="79" t="str">
        <f>REPLACE(INDEX(GroupVertices[Group],MATCH(Edges[[#This Row],[Vertex 2]],GroupVertices[Vertex],0)),1,1,"")</f>
        <v>3</v>
      </c>
      <c r="AH248" s="34"/>
      <c r="AI248" s="34"/>
      <c r="AJ248" s="34"/>
      <c r="AK248" s="34"/>
      <c r="AL248" s="34"/>
      <c r="AM248" s="34"/>
      <c r="AN248" s="34"/>
      <c r="AO248" s="34"/>
      <c r="AP248" s="34"/>
    </row>
    <row r="249" spans="1:42" ht="15">
      <c r="A249" s="65" t="s">
        <v>582</v>
      </c>
      <c r="B249" s="65" t="s">
        <v>585</v>
      </c>
      <c r="C249" s="66" t="s">
        <v>1853</v>
      </c>
      <c r="D249" s="67">
        <v>2</v>
      </c>
      <c r="E249" s="68"/>
      <c r="F249" s="69">
        <v>32</v>
      </c>
      <c r="G249" s="66"/>
      <c r="H249" s="70"/>
      <c r="I249" s="71"/>
      <c r="J249" s="71"/>
      <c r="K249" s="34" t="s">
        <v>66</v>
      </c>
      <c r="L249" s="78">
        <v>249</v>
      </c>
      <c r="M249" s="78"/>
      <c r="N249" s="73"/>
      <c r="O249" s="80" t="s">
        <v>211</v>
      </c>
      <c r="P249" s="80" t="s">
        <v>212</v>
      </c>
      <c r="Q249" s="80" t="s">
        <v>851</v>
      </c>
      <c r="R249" s="80" t="s">
        <v>582</v>
      </c>
      <c r="S249" s="80" t="s">
        <v>1044</v>
      </c>
      <c r="T249" s="82" t="str">
        <f>HYPERLINK("http://www.youtube.com/channel/UCjg2kAW7dd0nmCmHrCSVUng")</f>
        <v>http://www.youtube.com/channel/UCjg2kAW7dd0nmCmHrCSVUng</v>
      </c>
      <c r="U249" s="80" t="s">
        <v>1169</v>
      </c>
      <c r="V249" s="80" t="s">
        <v>1219</v>
      </c>
      <c r="W249" s="82" t="str">
        <f>HYPERLINK("https://www.youtube.com/watch?v=TgZnMmeXoDI")</f>
        <v>https://www.youtube.com/watch?v=TgZnMmeXoDI</v>
      </c>
      <c r="X249" s="80" t="s">
        <v>213</v>
      </c>
      <c r="Y249" s="80">
        <v>0</v>
      </c>
      <c r="Z249" s="84">
        <v>44002.66039351852</v>
      </c>
      <c r="AA249" s="84">
        <v>44002.66039351852</v>
      </c>
      <c r="AB249" s="80" t="s">
        <v>1244</v>
      </c>
      <c r="AC249" s="80" t="s">
        <v>1257</v>
      </c>
      <c r="AD249" s="80"/>
      <c r="AE249" s="80">
        <v>1</v>
      </c>
      <c r="AF249" s="79" t="str">
        <f>REPLACE(INDEX(GroupVertices[Group],MATCH(Edges[[#This Row],[Vertex 1]],GroupVertices[Vertex],0)),1,1,"")</f>
        <v>3</v>
      </c>
      <c r="AG249" s="79" t="str">
        <f>REPLACE(INDEX(GroupVertices[Group],MATCH(Edges[[#This Row],[Vertex 2]],GroupVertices[Vertex],0)),1,1,"")</f>
        <v>3</v>
      </c>
      <c r="AH249" s="34"/>
      <c r="AI249" s="34"/>
      <c r="AJ249" s="34"/>
      <c r="AK249" s="34"/>
      <c r="AL249" s="34"/>
      <c r="AM249" s="34"/>
      <c r="AN249" s="34"/>
      <c r="AO249" s="34"/>
      <c r="AP249" s="34"/>
    </row>
    <row r="250" spans="1:42" ht="15">
      <c r="A250" s="65" t="s">
        <v>585</v>
      </c>
      <c r="B250" s="65" t="s">
        <v>585</v>
      </c>
      <c r="C250" s="66" t="s">
        <v>1853</v>
      </c>
      <c r="D250" s="67">
        <v>2</v>
      </c>
      <c r="E250" s="68"/>
      <c r="F250" s="69">
        <v>32</v>
      </c>
      <c r="G250" s="66"/>
      <c r="H250" s="70"/>
      <c r="I250" s="71"/>
      <c r="J250" s="71"/>
      <c r="K250" s="34" t="s">
        <v>65</v>
      </c>
      <c r="L250" s="78">
        <v>250</v>
      </c>
      <c r="M250" s="78"/>
      <c r="N250" s="73"/>
      <c r="O250" s="80" t="s">
        <v>211</v>
      </c>
      <c r="P250" s="80" t="s">
        <v>212</v>
      </c>
      <c r="Q250" s="80" t="s">
        <v>852</v>
      </c>
      <c r="R250" s="80" t="s">
        <v>585</v>
      </c>
      <c r="S250" s="80" t="s">
        <v>1047</v>
      </c>
      <c r="T250" s="82" t="str">
        <f>HYPERLINK("http://www.youtube.com/channel/UC3e_opeaD07W20AIcYMrdPg")</f>
        <v>http://www.youtube.com/channel/UC3e_opeaD07W20AIcYMrdPg</v>
      </c>
      <c r="U250" s="80" t="s">
        <v>1169</v>
      </c>
      <c r="V250" s="80" t="s">
        <v>1219</v>
      </c>
      <c r="W250" s="82" t="str">
        <f>HYPERLINK("https://www.youtube.com/watch?v=TgZnMmeXoDI")</f>
        <v>https://www.youtube.com/watch?v=TgZnMmeXoDI</v>
      </c>
      <c r="X250" s="80" t="s">
        <v>213</v>
      </c>
      <c r="Y250" s="80">
        <v>0</v>
      </c>
      <c r="Z250" s="84">
        <v>44002.663668981484</v>
      </c>
      <c r="AA250" s="84">
        <v>44002.663668981484</v>
      </c>
      <c r="AB250" s="80"/>
      <c r="AC250" s="80"/>
      <c r="AD250" s="80"/>
      <c r="AE250" s="80">
        <v>1</v>
      </c>
      <c r="AF250" s="79" t="str">
        <f>REPLACE(INDEX(GroupVertices[Group],MATCH(Edges[[#This Row],[Vertex 1]],GroupVertices[Vertex],0)),1,1,"")</f>
        <v>3</v>
      </c>
      <c r="AG250" s="79" t="str">
        <f>REPLACE(INDEX(GroupVertices[Group],MATCH(Edges[[#This Row],[Vertex 2]],GroupVertices[Vertex],0)),1,1,"")</f>
        <v>3</v>
      </c>
      <c r="AH250" s="34"/>
      <c r="AI250" s="34"/>
      <c r="AJ250" s="34"/>
      <c r="AK250" s="34"/>
      <c r="AL250" s="34"/>
      <c r="AM250" s="34"/>
      <c r="AN250" s="34"/>
      <c r="AO250" s="34"/>
      <c r="AP250" s="34"/>
    </row>
    <row r="251" spans="1:42" ht="15">
      <c r="A251" s="65" t="s">
        <v>585</v>
      </c>
      <c r="B251" s="65" t="s">
        <v>582</v>
      </c>
      <c r="C251" s="66" t="s">
        <v>1853</v>
      </c>
      <c r="D251" s="67">
        <v>2</v>
      </c>
      <c r="E251" s="68"/>
      <c r="F251" s="69">
        <v>32</v>
      </c>
      <c r="G251" s="66"/>
      <c r="H251" s="70"/>
      <c r="I251" s="71"/>
      <c r="J251" s="71"/>
      <c r="K251" s="34" t="s">
        <v>66</v>
      </c>
      <c r="L251" s="78">
        <v>251</v>
      </c>
      <c r="M251" s="78"/>
      <c r="N251" s="73"/>
      <c r="O251" s="80" t="s">
        <v>210</v>
      </c>
      <c r="P251" s="80" t="s">
        <v>196</v>
      </c>
      <c r="Q251" s="80" t="s">
        <v>853</v>
      </c>
      <c r="R251" s="80" t="s">
        <v>585</v>
      </c>
      <c r="S251" s="80" t="s">
        <v>1047</v>
      </c>
      <c r="T251" s="82" t="str">
        <f>HYPERLINK("http://www.youtube.com/channel/UC3e_opeaD07W20AIcYMrdPg")</f>
        <v>http://www.youtube.com/channel/UC3e_opeaD07W20AIcYMrdPg</v>
      </c>
      <c r="U251" s="80"/>
      <c r="V251" s="80" t="s">
        <v>1219</v>
      </c>
      <c r="W251" s="82" t="str">
        <f>HYPERLINK("https://www.youtube.com/watch?v=TgZnMmeXoDI")</f>
        <v>https://www.youtube.com/watch?v=TgZnMmeXoDI</v>
      </c>
      <c r="X251" s="80" t="s">
        <v>213</v>
      </c>
      <c r="Y251" s="80">
        <v>0</v>
      </c>
      <c r="Z251" s="84">
        <v>44002.65332175926</v>
      </c>
      <c r="AA251" s="84">
        <v>44002.65332175926</v>
      </c>
      <c r="AB251" s="80"/>
      <c r="AC251" s="80"/>
      <c r="AD251" s="80"/>
      <c r="AE251" s="80">
        <v>1</v>
      </c>
      <c r="AF251" s="79" t="str">
        <f>REPLACE(INDEX(GroupVertices[Group],MATCH(Edges[[#This Row],[Vertex 1]],GroupVertices[Vertex],0)),1,1,"")</f>
        <v>3</v>
      </c>
      <c r="AG251" s="79" t="str">
        <f>REPLACE(INDEX(GroupVertices[Group],MATCH(Edges[[#This Row],[Vertex 2]],GroupVertices[Vertex],0)),1,1,"")</f>
        <v>3</v>
      </c>
      <c r="AH251" s="34"/>
      <c r="AI251" s="34"/>
      <c r="AJ251" s="34"/>
      <c r="AK251" s="34"/>
      <c r="AL251" s="34"/>
      <c r="AM251" s="34"/>
      <c r="AN251" s="34"/>
      <c r="AO251" s="34"/>
      <c r="AP251" s="34"/>
    </row>
    <row r="252" spans="1:42" ht="15">
      <c r="A252" s="65" t="s">
        <v>586</v>
      </c>
      <c r="B252" s="65" t="s">
        <v>577</v>
      </c>
      <c r="C252" s="66" t="s">
        <v>1853</v>
      </c>
      <c r="D252" s="67">
        <v>2</v>
      </c>
      <c r="E252" s="68"/>
      <c r="F252" s="69">
        <v>32</v>
      </c>
      <c r="G252" s="66"/>
      <c r="H252" s="70"/>
      <c r="I252" s="71"/>
      <c r="J252" s="71"/>
      <c r="K252" s="34" t="s">
        <v>65</v>
      </c>
      <c r="L252" s="78">
        <v>252</v>
      </c>
      <c r="M252" s="78"/>
      <c r="N252" s="73"/>
      <c r="O252" s="80" t="s">
        <v>211</v>
      </c>
      <c r="P252" s="80" t="s">
        <v>212</v>
      </c>
      <c r="Q252" s="80" t="s">
        <v>854</v>
      </c>
      <c r="R252" s="80" t="s">
        <v>586</v>
      </c>
      <c r="S252" s="80" t="s">
        <v>1048</v>
      </c>
      <c r="T252" s="82" t="str">
        <f>HYPERLINK("http://www.youtube.com/channel/UCaVD0Pzqs2yFHg_6GGfP29w")</f>
        <v>http://www.youtube.com/channel/UCaVD0Pzqs2yFHg_6GGfP29w</v>
      </c>
      <c r="U252" s="80" t="s">
        <v>1170</v>
      </c>
      <c r="V252" s="80" t="s">
        <v>1221</v>
      </c>
      <c r="W252" s="82" t="str">
        <f>HYPERLINK("https://www.youtube.com/watch?v=H84UJn1CiWo")</f>
        <v>https://www.youtube.com/watch?v=H84UJn1CiWo</v>
      </c>
      <c r="X252" s="80" t="s">
        <v>213</v>
      </c>
      <c r="Y252" s="80">
        <v>0</v>
      </c>
      <c r="Z252" s="84">
        <v>44002.22168981482</v>
      </c>
      <c r="AA252" s="84">
        <v>44002.22168981482</v>
      </c>
      <c r="AB252" s="80"/>
      <c r="AC252" s="80"/>
      <c r="AD252" s="80"/>
      <c r="AE252" s="80">
        <v>1</v>
      </c>
      <c r="AF252" s="79" t="str">
        <f>REPLACE(INDEX(GroupVertices[Group],MATCH(Edges[[#This Row],[Vertex 1]],GroupVertices[Vertex],0)),1,1,"")</f>
        <v>3</v>
      </c>
      <c r="AG252" s="79" t="str">
        <f>REPLACE(INDEX(GroupVertices[Group],MATCH(Edges[[#This Row],[Vertex 2]],GroupVertices[Vertex],0)),1,1,"")</f>
        <v>3</v>
      </c>
      <c r="AH252" s="34"/>
      <c r="AI252" s="34"/>
      <c r="AJ252" s="34"/>
      <c r="AK252" s="34"/>
      <c r="AL252" s="34"/>
      <c r="AM252" s="34"/>
      <c r="AN252" s="34"/>
      <c r="AO252" s="34"/>
      <c r="AP252" s="34"/>
    </row>
    <row r="253" spans="1:42" ht="15">
      <c r="A253" s="65" t="s">
        <v>578</v>
      </c>
      <c r="B253" s="65" t="s">
        <v>587</v>
      </c>
      <c r="C253" s="66" t="s">
        <v>1853</v>
      </c>
      <c r="D253" s="67">
        <v>2</v>
      </c>
      <c r="E253" s="68"/>
      <c r="F253" s="69">
        <v>32</v>
      </c>
      <c r="G253" s="66"/>
      <c r="H253" s="70"/>
      <c r="I253" s="71"/>
      <c r="J253" s="71"/>
      <c r="K253" s="34" t="s">
        <v>66</v>
      </c>
      <c r="L253" s="78">
        <v>253</v>
      </c>
      <c r="M253" s="78"/>
      <c r="N253" s="73"/>
      <c r="O253" s="80" t="s">
        <v>211</v>
      </c>
      <c r="P253" s="80" t="s">
        <v>212</v>
      </c>
      <c r="Q253" s="80" t="s">
        <v>855</v>
      </c>
      <c r="R253" s="80" t="s">
        <v>578</v>
      </c>
      <c r="S253" s="80" t="s">
        <v>1040</v>
      </c>
      <c r="T253" s="82" t="str">
        <f>HYPERLINK("http://www.youtube.com/channel/UC5fs7PookxGfDPTo-RU0ReQ")</f>
        <v>http://www.youtube.com/channel/UC5fs7PookxGfDPTo-RU0ReQ</v>
      </c>
      <c r="U253" s="80" t="s">
        <v>1171</v>
      </c>
      <c r="V253" s="80" t="s">
        <v>1221</v>
      </c>
      <c r="W253" s="82" t="str">
        <f>HYPERLINK("https://www.youtube.com/watch?v=H84UJn1CiWo")</f>
        <v>https://www.youtube.com/watch?v=H84UJn1CiWo</v>
      </c>
      <c r="X253" s="80" t="s">
        <v>213</v>
      </c>
      <c r="Y253" s="80">
        <v>0</v>
      </c>
      <c r="Z253" s="84">
        <v>44002.540347222224</v>
      </c>
      <c r="AA253" s="84">
        <v>44002.540347222224</v>
      </c>
      <c r="AB253" s="80"/>
      <c r="AC253" s="80"/>
      <c r="AD253" s="80"/>
      <c r="AE253" s="80">
        <v>1</v>
      </c>
      <c r="AF253" s="79" t="str">
        <f>REPLACE(INDEX(GroupVertices[Group],MATCH(Edges[[#This Row],[Vertex 1]],GroupVertices[Vertex],0)),1,1,"")</f>
        <v>3</v>
      </c>
      <c r="AG253" s="79" t="str">
        <f>REPLACE(INDEX(GroupVertices[Group],MATCH(Edges[[#This Row],[Vertex 2]],GroupVertices[Vertex],0)),1,1,"")</f>
        <v>3</v>
      </c>
      <c r="AH253" s="34"/>
      <c r="AI253" s="34"/>
      <c r="AJ253" s="34"/>
      <c r="AK253" s="34"/>
      <c r="AL253" s="34"/>
      <c r="AM253" s="34"/>
      <c r="AN253" s="34"/>
      <c r="AO253" s="34"/>
      <c r="AP253" s="34"/>
    </row>
    <row r="254" spans="1:42" ht="15">
      <c r="A254" s="65" t="s">
        <v>587</v>
      </c>
      <c r="B254" s="65" t="s">
        <v>578</v>
      </c>
      <c r="C254" s="66" t="s">
        <v>1853</v>
      </c>
      <c r="D254" s="67">
        <v>2</v>
      </c>
      <c r="E254" s="68"/>
      <c r="F254" s="69">
        <v>32</v>
      </c>
      <c r="G254" s="66"/>
      <c r="H254" s="70"/>
      <c r="I254" s="71"/>
      <c r="J254" s="71"/>
      <c r="K254" s="34" t="s">
        <v>66</v>
      </c>
      <c r="L254" s="78">
        <v>254</v>
      </c>
      <c r="M254" s="78"/>
      <c r="N254" s="73"/>
      <c r="O254" s="80" t="s">
        <v>210</v>
      </c>
      <c r="P254" s="80" t="s">
        <v>196</v>
      </c>
      <c r="Q254" s="80" t="s">
        <v>856</v>
      </c>
      <c r="R254" s="80" t="s">
        <v>587</v>
      </c>
      <c r="S254" s="80" t="s">
        <v>1049</v>
      </c>
      <c r="T254" s="82" t="str">
        <f>HYPERLINK("http://www.youtube.com/channel/UCWKAm6B2pG6i8WkjI6sYmzg")</f>
        <v>http://www.youtube.com/channel/UCWKAm6B2pG6i8WkjI6sYmzg</v>
      </c>
      <c r="U254" s="80"/>
      <c r="V254" s="80" t="s">
        <v>1221</v>
      </c>
      <c r="W254" s="82" t="str">
        <f>HYPERLINK("https://www.youtube.com/watch?v=H84UJn1CiWo")</f>
        <v>https://www.youtube.com/watch?v=H84UJn1CiWo</v>
      </c>
      <c r="X254" s="80" t="s">
        <v>213</v>
      </c>
      <c r="Y254" s="80">
        <v>0</v>
      </c>
      <c r="Z254" s="84">
        <v>44002.23024305556</v>
      </c>
      <c r="AA254" s="84">
        <v>44002.23024305556</v>
      </c>
      <c r="AB254" s="80"/>
      <c r="AC254" s="80"/>
      <c r="AD254" s="80"/>
      <c r="AE254" s="80">
        <v>1</v>
      </c>
      <c r="AF254" s="79" t="str">
        <f>REPLACE(INDEX(GroupVertices[Group],MATCH(Edges[[#This Row],[Vertex 1]],GroupVertices[Vertex],0)),1,1,"")</f>
        <v>3</v>
      </c>
      <c r="AG254" s="79" t="str">
        <f>REPLACE(INDEX(GroupVertices[Group],MATCH(Edges[[#This Row],[Vertex 2]],GroupVertices[Vertex],0)),1,1,"")</f>
        <v>3</v>
      </c>
      <c r="AH254" s="34"/>
      <c r="AI254" s="34"/>
      <c r="AJ254" s="34"/>
      <c r="AK254" s="34"/>
      <c r="AL254" s="34"/>
      <c r="AM254" s="34"/>
      <c r="AN254" s="34"/>
      <c r="AO254" s="34"/>
      <c r="AP254" s="34"/>
    </row>
    <row r="255" spans="1:42" ht="15">
      <c r="A255" s="65" t="s">
        <v>578</v>
      </c>
      <c r="B255" s="65" t="s">
        <v>588</v>
      </c>
      <c r="C255" s="66" t="s">
        <v>1853</v>
      </c>
      <c r="D255" s="67">
        <v>2</v>
      </c>
      <c r="E255" s="68"/>
      <c r="F255" s="69">
        <v>32</v>
      </c>
      <c r="G255" s="66"/>
      <c r="H255" s="70"/>
      <c r="I255" s="71"/>
      <c r="J255" s="71"/>
      <c r="K255" s="34" t="s">
        <v>66</v>
      </c>
      <c r="L255" s="78">
        <v>255</v>
      </c>
      <c r="M255" s="78"/>
      <c r="N255" s="73"/>
      <c r="O255" s="80" t="s">
        <v>211</v>
      </c>
      <c r="P255" s="80" t="s">
        <v>212</v>
      </c>
      <c r="Q255" s="80" t="s">
        <v>857</v>
      </c>
      <c r="R255" s="80" t="s">
        <v>578</v>
      </c>
      <c r="S255" s="80" t="s">
        <v>1040</v>
      </c>
      <c r="T255" s="82" t="str">
        <f>HYPERLINK("http://www.youtube.com/channel/UC5fs7PookxGfDPTo-RU0ReQ")</f>
        <v>http://www.youtube.com/channel/UC5fs7PookxGfDPTo-RU0ReQ</v>
      </c>
      <c r="U255" s="80" t="s">
        <v>1172</v>
      </c>
      <c r="V255" s="80" t="s">
        <v>1221</v>
      </c>
      <c r="W255" s="82" t="str">
        <f>HYPERLINK("https://www.youtube.com/watch?v=H84UJn1CiWo")</f>
        <v>https://www.youtube.com/watch?v=H84UJn1CiWo</v>
      </c>
      <c r="X255" s="80" t="s">
        <v>213</v>
      </c>
      <c r="Y255" s="80">
        <v>0</v>
      </c>
      <c r="Z255" s="84">
        <v>44002.540243055555</v>
      </c>
      <c r="AA255" s="84">
        <v>44002.540243055555</v>
      </c>
      <c r="AB255" s="80"/>
      <c r="AC255" s="80"/>
      <c r="AD255" s="80"/>
      <c r="AE255" s="80">
        <v>1</v>
      </c>
      <c r="AF255" s="79" t="str">
        <f>REPLACE(INDEX(GroupVertices[Group],MATCH(Edges[[#This Row],[Vertex 1]],GroupVertices[Vertex],0)),1,1,"")</f>
        <v>3</v>
      </c>
      <c r="AG255" s="79" t="str">
        <f>REPLACE(INDEX(GroupVertices[Group],MATCH(Edges[[#This Row],[Vertex 2]],GroupVertices[Vertex],0)),1,1,"")</f>
        <v>3</v>
      </c>
      <c r="AH255" s="34"/>
      <c r="AI255" s="34"/>
      <c r="AJ255" s="34"/>
      <c r="AK255" s="34"/>
      <c r="AL255" s="34"/>
      <c r="AM255" s="34"/>
      <c r="AN255" s="34"/>
      <c r="AO255" s="34"/>
      <c r="AP255" s="34"/>
    </row>
    <row r="256" spans="1:42" ht="15">
      <c r="A256" s="65" t="s">
        <v>588</v>
      </c>
      <c r="B256" s="65" t="s">
        <v>578</v>
      </c>
      <c r="C256" s="66" t="s">
        <v>1853</v>
      </c>
      <c r="D256" s="67">
        <v>2</v>
      </c>
      <c r="E256" s="68"/>
      <c r="F256" s="69">
        <v>32</v>
      </c>
      <c r="G256" s="66"/>
      <c r="H256" s="70"/>
      <c r="I256" s="71"/>
      <c r="J256" s="71"/>
      <c r="K256" s="34" t="s">
        <v>66</v>
      </c>
      <c r="L256" s="78">
        <v>256</v>
      </c>
      <c r="M256" s="78"/>
      <c r="N256" s="73"/>
      <c r="O256" s="80" t="s">
        <v>210</v>
      </c>
      <c r="P256" s="80" t="s">
        <v>196</v>
      </c>
      <c r="Q256" s="80" t="s">
        <v>858</v>
      </c>
      <c r="R256" s="80" t="s">
        <v>588</v>
      </c>
      <c r="S256" s="80" t="s">
        <v>1050</v>
      </c>
      <c r="T256" s="82" t="str">
        <f>HYPERLINK("http://www.youtube.com/channel/UCo2q0TUJMy4m0muhRo0LesQ")</f>
        <v>http://www.youtube.com/channel/UCo2q0TUJMy4m0muhRo0LesQ</v>
      </c>
      <c r="U256" s="80"/>
      <c r="V256" s="80" t="s">
        <v>1221</v>
      </c>
      <c r="W256" s="82" t="str">
        <f>HYPERLINK("https://www.youtube.com/watch?v=H84UJn1CiWo")</f>
        <v>https://www.youtube.com/watch?v=H84UJn1CiWo</v>
      </c>
      <c r="X256" s="80" t="s">
        <v>213</v>
      </c>
      <c r="Y256" s="80">
        <v>0</v>
      </c>
      <c r="Z256" s="84">
        <v>44002.35140046296</v>
      </c>
      <c r="AA256" s="84">
        <v>44002.35140046296</v>
      </c>
      <c r="AB256" s="80"/>
      <c r="AC256" s="80"/>
      <c r="AD256" s="80"/>
      <c r="AE256" s="80">
        <v>1</v>
      </c>
      <c r="AF256" s="79" t="str">
        <f>REPLACE(INDEX(GroupVertices[Group],MATCH(Edges[[#This Row],[Vertex 1]],GroupVertices[Vertex],0)),1,1,"")</f>
        <v>3</v>
      </c>
      <c r="AG256" s="79" t="str">
        <f>REPLACE(INDEX(GroupVertices[Group],MATCH(Edges[[#This Row],[Vertex 2]],GroupVertices[Vertex],0)),1,1,"")</f>
        <v>3</v>
      </c>
      <c r="AH256" s="34"/>
      <c r="AI256" s="34"/>
      <c r="AJ256" s="34"/>
      <c r="AK256" s="34"/>
      <c r="AL256" s="34"/>
      <c r="AM256" s="34"/>
      <c r="AN256" s="34"/>
      <c r="AO256" s="34"/>
      <c r="AP256" s="34"/>
    </row>
    <row r="257" spans="1:42" ht="15">
      <c r="A257" s="65" t="s">
        <v>578</v>
      </c>
      <c r="B257" s="65" t="s">
        <v>589</v>
      </c>
      <c r="C257" s="66" t="s">
        <v>1833</v>
      </c>
      <c r="D257" s="67">
        <v>2</v>
      </c>
      <c r="E257" s="68"/>
      <c r="F257" s="69">
        <v>32</v>
      </c>
      <c r="G257" s="66"/>
      <c r="H257" s="70"/>
      <c r="I257" s="71"/>
      <c r="J257" s="71"/>
      <c r="K257" s="34" t="s">
        <v>66</v>
      </c>
      <c r="L257" s="78">
        <v>257</v>
      </c>
      <c r="M257" s="78"/>
      <c r="N257" s="73"/>
      <c r="O257" s="80" t="s">
        <v>211</v>
      </c>
      <c r="P257" s="80" t="s">
        <v>212</v>
      </c>
      <c r="Q257" s="80" t="s">
        <v>859</v>
      </c>
      <c r="R257" s="80" t="s">
        <v>578</v>
      </c>
      <c r="S257" s="80" t="s">
        <v>1040</v>
      </c>
      <c r="T257" s="82" t="str">
        <f>HYPERLINK("http://www.youtube.com/channel/UC5fs7PookxGfDPTo-RU0ReQ")</f>
        <v>http://www.youtube.com/channel/UC5fs7PookxGfDPTo-RU0ReQ</v>
      </c>
      <c r="U257" s="80" t="s">
        <v>1173</v>
      </c>
      <c r="V257" s="80" t="s">
        <v>1221</v>
      </c>
      <c r="W257" s="82" t="str">
        <f>HYPERLINK("https://www.youtube.com/watch?v=H84UJn1CiWo")</f>
        <v>https://www.youtube.com/watch?v=H84UJn1CiWo</v>
      </c>
      <c r="X257" s="80" t="s">
        <v>213</v>
      </c>
      <c r="Y257" s="80">
        <v>0</v>
      </c>
      <c r="Z257" s="84">
        <v>44002.61524305555</v>
      </c>
      <c r="AA257" s="84">
        <v>44002.61524305555</v>
      </c>
      <c r="AB257" s="80"/>
      <c r="AC257" s="80"/>
      <c r="AD257" s="80"/>
      <c r="AE257" s="80">
        <v>2</v>
      </c>
      <c r="AF257" s="79" t="str">
        <f>REPLACE(INDEX(GroupVertices[Group],MATCH(Edges[[#This Row],[Vertex 1]],GroupVertices[Vertex],0)),1,1,"")</f>
        <v>3</v>
      </c>
      <c r="AG257" s="79" t="str">
        <f>REPLACE(INDEX(GroupVertices[Group],MATCH(Edges[[#This Row],[Vertex 2]],GroupVertices[Vertex],0)),1,1,"")</f>
        <v>3</v>
      </c>
      <c r="AH257" s="34"/>
      <c r="AI257" s="34"/>
      <c r="AJ257" s="34"/>
      <c r="AK257" s="34"/>
      <c r="AL257" s="34"/>
      <c r="AM257" s="34"/>
      <c r="AN257" s="34"/>
      <c r="AO257" s="34"/>
      <c r="AP257" s="34"/>
    </row>
    <row r="258" spans="1:42" ht="15">
      <c r="A258" s="65" t="s">
        <v>589</v>
      </c>
      <c r="B258" s="65" t="s">
        <v>578</v>
      </c>
      <c r="C258" s="66" t="s">
        <v>1833</v>
      </c>
      <c r="D258" s="67">
        <v>2</v>
      </c>
      <c r="E258" s="68"/>
      <c r="F258" s="69">
        <v>32</v>
      </c>
      <c r="G258" s="66"/>
      <c r="H258" s="70"/>
      <c r="I258" s="71"/>
      <c r="J258" s="71"/>
      <c r="K258" s="34" t="s">
        <v>66</v>
      </c>
      <c r="L258" s="78">
        <v>258</v>
      </c>
      <c r="M258" s="78"/>
      <c r="N258" s="73"/>
      <c r="O258" s="80" t="s">
        <v>210</v>
      </c>
      <c r="P258" s="80" t="s">
        <v>196</v>
      </c>
      <c r="Q258" s="80" t="s">
        <v>860</v>
      </c>
      <c r="R258" s="80" t="s">
        <v>589</v>
      </c>
      <c r="S258" s="80" t="s">
        <v>1051</v>
      </c>
      <c r="T258" s="82" t="str">
        <f>HYPERLINK("http://www.youtube.com/channel/UCXjKRWc69RlJCxL6YGPdH8g")</f>
        <v>http://www.youtube.com/channel/UCXjKRWc69RlJCxL6YGPdH8g</v>
      </c>
      <c r="U258" s="80"/>
      <c r="V258" s="80" t="s">
        <v>1221</v>
      </c>
      <c r="W258" s="82" t="str">
        <f>HYPERLINK("https://www.youtube.com/watch?v=H84UJn1CiWo")</f>
        <v>https://www.youtube.com/watch?v=H84UJn1CiWo</v>
      </c>
      <c r="X258" s="80" t="s">
        <v>213</v>
      </c>
      <c r="Y258" s="80">
        <v>0</v>
      </c>
      <c r="Z258" s="84">
        <v>44002.54599537037</v>
      </c>
      <c r="AA258" s="84">
        <v>44002.54599537037</v>
      </c>
      <c r="AB258" s="80"/>
      <c r="AC258" s="80"/>
      <c r="AD258" s="80"/>
      <c r="AE258" s="80">
        <v>2</v>
      </c>
      <c r="AF258" s="79" t="str">
        <f>REPLACE(INDEX(GroupVertices[Group],MATCH(Edges[[#This Row],[Vertex 1]],GroupVertices[Vertex],0)),1,1,"")</f>
        <v>3</v>
      </c>
      <c r="AG258" s="79" t="str">
        <f>REPLACE(INDEX(GroupVertices[Group],MATCH(Edges[[#This Row],[Vertex 2]],GroupVertices[Vertex],0)),1,1,"")</f>
        <v>3</v>
      </c>
      <c r="AH258" s="34"/>
      <c r="AI258" s="34"/>
      <c r="AJ258" s="34"/>
      <c r="AK258" s="34"/>
      <c r="AL258" s="34"/>
      <c r="AM258" s="34"/>
      <c r="AN258" s="34"/>
      <c r="AO258" s="34"/>
      <c r="AP258" s="34"/>
    </row>
    <row r="259" spans="1:42" ht="15">
      <c r="A259" s="65" t="s">
        <v>578</v>
      </c>
      <c r="B259" s="65" t="s">
        <v>589</v>
      </c>
      <c r="C259" s="66" t="s">
        <v>1833</v>
      </c>
      <c r="D259" s="67">
        <v>2</v>
      </c>
      <c r="E259" s="68"/>
      <c r="F259" s="69">
        <v>32</v>
      </c>
      <c r="G259" s="66"/>
      <c r="H259" s="70"/>
      <c r="I259" s="71"/>
      <c r="J259" s="71"/>
      <c r="K259" s="34" t="s">
        <v>66</v>
      </c>
      <c r="L259" s="78">
        <v>259</v>
      </c>
      <c r="M259" s="78"/>
      <c r="N259" s="73"/>
      <c r="O259" s="80" t="s">
        <v>211</v>
      </c>
      <c r="P259" s="80" t="s">
        <v>212</v>
      </c>
      <c r="Q259" s="80" t="s">
        <v>861</v>
      </c>
      <c r="R259" s="80" t="s">
        <v>578</v>
      </c>
      <c r="S259" s="80" t="s">
        <v>1040</v>
      </c>
      <c r="T259" s="82" t="str">
        <f>HYPERLINK("http://www.youtube.com/channel/UC5fs7PookxGfDPTo-RU0ReQ")</f>
        <v>http://www.youtube.com/channel/UC5fs7PookxGfDPTo-RU0ReQ</v>
      </c>
      <c r="U259" s="80" t="s">
        <v>1174</v>
      </c>
      <c r="V259" s="80" t="s">
        <v>1221</v>
      </c>
      <c r="W259" s="82" t="str">
        <f>HYPERLINK("https://www.youtube.com/watch?v=H84UJn1CiWo")</f>
        <v>https://www.youtube.com/watch?v=H84UJn1CiWo</v>
      </c>
      <c r="X259" s="80" t="s">
        <v>213</v>
      </c>
      <c r="Y259" s="80">
        <v>0</v>
      </c>
      <c r="Z259" s="84">
        <v>44002.61548611111</v>
      </c>
      <c r="AA259" s="84">
        <v>44002.61548611111</v>
      </c>
      <c r="AB259" s="80"/>
      <c r="AC259" s="80"/>
      <c r="AD259" s="80"/>
      <c r="AE259" s="80">
        <v>2</v>
      </c>
      <c r="AF259" s="79" t="str">
        <f>REPLACE(INDEX(GroupVertices[Group],MATCH(Edges[[#This Row],[Vertex 1]],GroupVertices[Vertex],0)),1,1,"")</f>
        <v>3</v>
      </c>
      <c r="AG259" s="79" t="str">
        <f>REPLACE(INDEX(GroupVertices[Group],MATCH(Edges[[#This Row],[Vertex 2]],GroupVertices[Vertex],0)),1,1,"")</f>
        <v>3</v>
      </c>
      <c r="AH259" s="34"/>
      <c r="AI259" s="34"/>
      <c r="AJ259" s="34"/>
      <c r="AK259" s="34"/>
      <c r="AL259" s="34"/>
      <c r="AM259" s="34"/>
      <c r="AN259" s="34"/>
      <c r="AO259" s="34"/>
      <c r="AP259" s="34"/>
    </row>
    <row r="260" spans="1:42" ht="15">
      <c r="A260" s="65" t="s">
        <v>589</v>
      </c>
      <c r="B260" s="65" t="s">
        <v>578</v>
      </c>
      <c r="C260" s="66" t="s">
        <v>1833</v>
      </c>
      <c r="D260" s="67">
        <v>2</v>
      </c>
      <c r="E260" s="68"/>
      <c r="F260" s="69">
        <v>32</v>
      </c>
      <c r="G260" s="66"/>
      <c r="H260" s="70"/>
      <c r="I260" s="71"/>
      <c r="J260" s="71"/>
      <c r="K260" s="34" t="s">
        <v>66</v>
      </c>
      <c r="L260" s="78">
        <v>260</v>
      </c>
      <c r="M260" s="78"/>
      <c r="N260" s="73"/>
      <c r="O260" s="80" t="s">
        <v>210</v>
      </c>
      <c r="P260" s="80" t="s">
        <v>196</v>
      </c>
      <c r="Q260" s="80" t="s">
        <v>862</v>
      </c>
      <c r="R260" s="80" t="s">
        <v>589</v>
      </c>
      <c r="S260" s="80" t="s">
        <v>1051</v>
      </c>
      <c r="T260" s="82" t="str">
        <f>HYPERLINK("http://www.youtube.com/channel/UCXjKRWc69RlJCxL6YGPdH8g")</f>
        <v>http://www.youtube.com/channel/UCXjKRWc69RlJCxL6YGPdH8g</v>
      </c>
      <c r="U260" s="80"/>
      <c r="V260" s="80" t="s">
        <v>1221</v>
      </c>
      <c r="W260" s="82" t="str">
        <f>HYPERLINK("https://www.youtube.com/watch?v=H84UJn1CiWo")</f>
        <v>https://www.youtube.com/watch?v=H84UJn1CiWo</v>
      </c>
      <c r="X260" s="80" t="s">
        <v>213</v>
      </c>
      <c r="Y260" s="80">
        <v>0</v>
      </c>
      <c r="Z260" s="84">
        <v>44002.5465625</v>
      </c>
      <c r="AA260" s="84">
        <v>44002.5465625</v>
      </c>
      <c r="AB260" s="80"/>
      <c r="AC260" s="80"/>
      <c r="AD260" s="80"/>
      <c r="AE260" s="80">
        <v>2</v>
      </c>
      <c r="AF260" s="79" t="str">
        <f>REPLACE(INDEX(GroupVertices[Group],MATCH(Edges[[#This Row],[Vertex 1]],GroupVertices[Vertex],0)),1,1,"")</f>
        <v>3</v>
      </c>
      <c r="AG260" s="79" t="str">
        <f>REPLACE(INDEX(GroupVertices[Group],MATCH(Edges[[#This Row],[Vertex 2]],GroupVertices[Vertex],0)),1,1,"")</f>
        <v>3</v>
      </c>
      <c r="AH260" s="34"/>
      <c r="AI260" s="34"/>
      <c r="AJ260" s="34"/>
      <c r="AK260" s="34"/>
      <c r="AL260" s="34"/>
      <c r="AM260" s="34"/>
      <c r="AN260" s="34"/>
      <c r="AO260" s="34"/>
      <c r="AP260" s="34"/>
    </row>
    <row r="261" spans="1:42" ht="15">
      <c r="A261" s="65" t="s">
        <v>578</v>
      </c>
      <c r="B261" s="65" t="s">
        <v>590</v>
      </c>
      <c r="C261" s="66" t="s">
        <v>1833</v>
      </c>
      <c r="D261" s="67">
        <v>2</v>
      </c>
      <c r="E261" s="68"/>
      <c r="F261" s="69">
        <v>32</v>
      </c>
      <c r="G261" s="66"/>
      <c r="H261" s="70"/>
      <c r="I261" s="71"/>
      <c r="J261" s="71"/>
      <c r="K261" s="34" t="s">
        <v>66</v>
      </c>
      <c r="L261" s="78">
        <v>261</v>
      </c>
      <c r="M261" s="78"/>
      <c r="N261" s="73"/>
      <c r="O261" s="80" t="s">
        <v>211</v>
      </c>
      <c r="P261" s="80" t="s">
        <v>212</v>
      </c>
      <c r="Q261" s="80" t="s">
        <v>863</v>
      </c>
      <c r="R261" s="80" t="s">
        <v>578</v>
      </c>
      <c r="S261" s="80" t="s">
        <v>1040</v>
      </c>
      <c r="T261" s="82" t="str">
        <f>HYPERLINK("http://www.youtube.com/channel/UC5fs7PookxGfDPTo-RU0ReQ")</f>
        <v>http://www.youtube.com/channel/UC5fs7PookxGfDPTo-RU0ReQ</v>
      </c>
      <c r="U261" s="80" t="s">
        <v>1175</v>
      </c>
      <c r="V261" s="80" t="s">
        <v>1221</v>
      </c>
      <c r="W261" s="82" t="str">
        <f>HYPERLINK("https://www.youtube.com/watch?v=H84UJn1CiWo")</f>
        <v>https://www.youtube.com/watch?v=H84UJn1CiWo</v>
      </c>
      <c r="X261" s="80" t="s">
        <v>213</v>
      </c>
      <c r="Y261" s="80">
        <v>0</v>
      </c>
      <c r="Z261" s="84">
        <v>44002.540138888886</v>
      </c>
      <c r="AA261" s="84">
        <v>44002.540138888886</v>
      </c>
      <c r="AB261" s="80"/>
      <c r="AC261" s="80"/>
      <c r="AD261" s="80"/>
      <c r="AE261" s="80">
        <v>2</v>
      </c>
      <c r="AF261" s="79" t="str">
        <f>REPLACE(INDEX(GroupVertices[Group],MATCH(Edges[[#This Row],[Vertex 1]],GroupVertices[Vertex],0)),1,1,"")</f>
        <v>3</v>
      </c>
      <c r="AG261" s="79" t="str">
        <f>REPLACE(INDEX(GroupVertices[Group],MATCH(Edges[[#This Row],[Vertex 2]],GroupVertices[Vertex],0)),1,1,"")</f>
        <v>3</v>
      </c>
      <c r="AH261" s="34"/>
      <c r="AI261" s="34"/>
      <c r="AJ261" s="34"/>
      <c r="AK261" s="34"/>
      <c r="AL261" s="34"/>
      <c r="AM261" s="34"/>
      <c r="AN261" s="34"/>
      <c r="AO261" s="34"/>
      <c r="AP261" s="34"/>
    </row>
    <row r="262" spans="1:42" ht="15">
      <c r="A262" s="65" t="s">
        <v>590</v>
      </c>
      <c r="B262" s="65" t="s">
        <v>578</v>
      </c>
      <c r="C262" s="66" t="s">
        <v>1833</v>
      </c>
      <c r="D262" s="67">
        <v>2</v>
      </c>
      <c r="E262" s="68"/>
      <c r="F262" s="69">
        <v>32</v>
      </c>
      <c r="G262" s="66"/>
      <c r="H262" s="70"/>
      <c r="I262" s="71"/>
      <c r="J262" s="71"/>
      <c r="K262" s="34" t="s">
        <v>66</v>
      </c>
      <c r="L262" s="78">
        <v>262</v>
      </c>
      <c r="M262" s="78"/>
      <c r="N262" s="73"/>
      <c r="O262" s="80" t="s">
        <v>210</v>
      </c>
      <c r="P262" s="80" t="s">
        <v>196</v>
      </c>
      <c r="Q262" s="80" t="s">
        <v>864</v>
      </c>
      <c r="R262" s="80" t="s">
        <v>590</v>
      </c>
      <c r="S262" s="80" t="s">
        <v>1052</v>
      </c>
      <c r="T262" s="82" t="str">
        <f>HYPERLINK("http://www.youtube.com/channel/UCqdha8jegBrqZ6Z2JlSJFkQ")</f>
        <v>http://www.youtube.com/channel/UCqdha8jegBrqZ6Z2JlSJFkQ</v>
      </c>
      <c r="U262" s="80"/>
      <c r="V262" s="80" t="s">
        <v>1221</v>
      </c>
      <c r="W262" s="82" t="str">
        <f>HYPERLINK("https://www.youtube.com/watch?v=H84UJn1CiWo")</f>
        <v>https://www.youtube.com/watch?v=H84UJn1CiWo</v>
      </c>
      <c r="X262" s="80" t="s">
        <v>213</v>
      </c>
      <c r="Y262" s="80">
        <v>0</v>
      </c>
      <c r="Z262" s="84">
        <v>44002.50226851852</v>
      </c>
      <c r="AA262" s="84">
        <v>44002.50226851852</v>
      </c>
      <c r="AB262" s="80"/>
      <c r="AC262" s="80"/>
      <c r="AD262" s="80"/>
      <c r="AE262" s="80">
        <v>2</v>
      </c>
      <c r="AF262" s="79" t="str">
        <f>REPLACE(INDEX(GroupVertices[Group],MATCH(Edges[[#This Row],[Vertex 1]],GroupVertices[Vertex],0)),1,1,"")</f>
        <v>3</v>
      </c>
      <c r="AG262" s="79" t="str">
        <f>REPLACE(INDEX(GroupVertices[Group],MATCH(Edges[[#This Row],[Vertex 2]],GroupVertices[Vertex],0)),1,1,"")</f>
        <v>3</v>
      </c>
      <c r="AH262" s="34"/>
      <c r="AI262" s="34"/>
      <c r="AJ262" s="34"/>
      <c r="AK262" s="34"/>
      <c r="AL262" s="34"/>
      <c r="AM262" s="34"/>
      <c r="AN262" s="34"/>
      <c r="AO262" s="34"/>
      <c r="AP262" s="34"/>
    </row>
    <row r="263" spans="1:42" ht="15">
      <c r="A263" s="65" t="s">
        <v>578</v>
      </c>
      <c r="B263" s="65" t="s">
        <v>590</v>
      </c>
      <c r="C263" s="66" t="s">
        <v>1833</v>
      </c>
      <c r="D263" s="67">
        <v>2</v>
      </c>
      <c r="E263" s="68"/>
      <c r="F263" s="69">
        <v>32</v>
      </c>
      <c r="G263" s="66"/>
      <c r="H263" s="70"/>
      <c r="I263" s="71"/>
      <c r="J263" s="71"/>
      <c r="K263" s="34" t="s">
        <v>66</v>
      </c>
      <c r="L263" s="78">
        <v>263</v>
      </c>
      <c r="M263" s="78"/>
      <c r="N263" s="73"/>
      <c r="O263" s="80" t="s">
        <v>211</v>
      </c>
      <c r="P263" s="80" t="s">
        <v>212</v>
      </c>
      <c r="Q263" s="80" t="s">
        <v>865</v>
      </c>
      <c r="R263" s="80" t="s">
        <v>578</v>
      </c>
      <c r="S263" s="80" t="s">
        <v>1040</v>
      </c>
      <c r="T263" s="82" t="str">
        <f>HYPERLINK("http://www.youtube.com/channel/UC5fs7PookxGfDPTo-RU0ReQ")</f>
        <v>http://www.youtube.com/channel/UC5fs7PookxGfDPTo-RU0ReQ</v>
      </c>
      <c r="U263" s="80" t="s">
        <v>1176</v>
      </c>
      <c r="V263" s="80" t="s">
        <v>1221</v>
      </c>
      <c r="W263" s="82" t="str">
        <f>HYPERLINK("https://www.youtube.com/watch?v=H84UJn1CiWo")</f>
        <v>https://www.youtube.com/watch?v=H84UJn1CiWo</v>
      </c>
      <c r="X263" s="80" t="s">
        <v>213</v>
      </c>
      <c r="Y263" s="80">
        <v>0</v>
      </c>
      <c r="Z263" s="84">
        <v>44002.7391087963</v>
      </c>
      <c r="AA263" s="84">
        <v>44002.7391087963</v>
      </c>
      <c r="AB263" s="80"/>
      <c r="AC263" s="80"/>
      <c r="AD263" s="80"/>
      <c r="AE263" s="80">
        <v>2</v>
      </c>
      <c r="AF263" s="79" t="str">
        <f>REPLACE(INDEX(GroupVertices[Group],MATCH(Edges[[#This Row],[Vertex 1]],GroupVertices[Vertex],0)),1,1,"")</f>
        <v>3</v>
      </c>
      <c r="AG263" s="79" t="str">
        <f>REPLACE(INDEX(GroupVertices[Group],MATCH(Edges[[#This Row],[Vertex 2]],GroupVertices[Vertex],0)),1,1,"")</f>
        <v>3</v>
      </c>
      <c r="AH263" s="34"/>
      <c r="AI263" s="34"/>
      <c r="AJ263" s="34"/>
      <c r="AK263" s="34"/>
      <c r="AL263" s="34"/>
      <c r="AM263" s="34"/>
      <c r="AN263" s="34"/>
      <c r="AO263" s="34"/>
      <c r="AP263" s="34"/>
    </row>
    <row r="264" spans="1:42" ht="15">
      <c r="A264" s="65" t="s">
        <v>590</v>
      </c>
      <c r="B264" s="65" t="s">
        <v>578</v>
      </c>
      <c r="C264" s="66" t="s">
        <v>1833</v>
      </c>
      <c r="D264" s="67">
        <v>2</v>
      </c>
      <c r="E264" s="68"/>
      <c r="F264" s="69">
        <v>32</v>
      </c>
      <c r="G264" s="66"/>
      <c r="H264" s="70"/>
      <c r="I264" s="71"/>
      <c r="J264" s="71"/>
      <c r="K264" s="34" t="s">
        <v>66</v>
      </c>
      <c r="L264" s="78">
        <v>264</v>
      </c>
      <c r="M264" s="78"/>
      <c r="N264" s="73"/>
      <c r="O264" s="80" t="s">
        <v>210</v>
      </c>
      <c r="P264" s="80" t="s">
        <v>196</v>
      </c>
      <c r="Q264" s="80" t="s">
        <v>866</v>
      </c>
      <c r="R264" s="80" t="s">
        <v>590</v>
      </c>
      <c r="S264" s="80" t="s">
        <v>1052</v>
      </c>
      <c r="T264" s="82" t="str">
        <f>HYPERLINK("http://www.youtube.com/channel/UCqdha8jegBrqZ6Z2JlSJFkQ")</f>
        <v>http://www.youtube.com/channel/UCqdha8jegBrqZ6Z2JlSJFkQ</v>
      </c>
      <c r="U264" s="80"/>
      <c r="V264" s="80" t="s">
        <v>1221</v>
      </c>
      <c r="W264" s="82" t="str">
        <f>HYPERLINK("https://www.youtube.com/watch?v=H84UJn1CiWo")</f>
        <v>https://www.youtube.com/watch?v=H84UJn1CiWo</v>
      </c>
      <c r="X264" s="80" t="s">
        <v>213</v>
      </c>
      <c r="Y264" s="80">
        <v>0</v>
      </c>
      <c r="Z264" s="84">
        <v>44002.61659722222</v>
      </c>
      <c r="AA264" s="84">
        <v>44002.61659722222</v>
      </c>
      <c r="AB264" s="80"/>
      <c r="AC264" s="80"/>
      <c r="AD264" s="80"/>
      <c r="AE264" s="80">
        <v>2</v>
      </c>
      <c r="AF264" s="79" t="str">
        <f>REPLACE(INDEX(GroupVertices[Group],MATCH(Edges[[#This Row],[Vertex 1]],GroupVertices[Vertex],0)),1,1,"")</f>
        <v>3</v>
      </c>
      <c r="AG264" s="79" t="str">
        <f>REPLACE(INDEX(GroupVertices[Group],MATCH(Edges[[#This Row],[Vertex 2]],GroupVertices[Vertex],0)),1,1,"")</f>
        <v>3</v>
      </c>
      <c r="AH264" s="34"/>
      <c r="AI264" s="34"/>
      <c r="AJ264" s="34"/>
      <c r="AK264" s="34"/>
      <c r="AL264" s="34"/>
      <c r="AM264" s="34"/>
      <c r="AN264" s="34"/>
      <c r="AO264" s="34"/>
      <c r="AP264" s="34"/>
    </row>
    <row r="265" spans="1:42" ht="15">
      <c r="A265" s="65" t="s">
        <v>578</v>
      </c>
      <c r="B265" s="65" t="s">
        <v>591</v>
      </c>
      <c r="C265" s="66" t="s">
        <v>1853</v>
      </c>
      <c r="D265" s="67">
        <v>2</v>
      </c>
      <c r="E265" s="68"/>
      <c r="F265" s="69">
        <v>32</v>
      </c>
      <c r="G265" s="66"/>
      <c r="H265" s="70"/>
      <c r="I265" s="71"/>
      <c r="J265" s="71"/>
      <c r="K265" s="34" t="s">
        <v>66</v>
      </c>
      <c r="L265" s="78">
        <v>265</v>
      </c>
      <c r="M265" s="78"/>
      <c r="N265" s="73"/>
      <c r="O265" s="80" t="s">
        <v>211</v>
      </c>
      <c r="P265" s="80" t="s">
        <v>212</v>
      </c>
      <c r="Q265" s="80" t="s">
        <v>867</v>
      </c>
      <c r="R265" s="80" t="s">
        <v>578</v>
      </c>
      <c r="S265" s="80" t="s">
        <v>1040</v>
      </c>
      <c r="T265" s="82" t="str">
        <f>HYPERLINK("http://www.youtube.com/channel/UC5fs7PookxGfDPTo-RU0ReQ")</f>
        <v>http://www.youtube.com/channel/UC5fs7PookxGfDPTo-RU0ReQ</v>
      </c>
      <c r="U265" s="80" t="s">
        <v>1177</v>
      </c>
      <c r="V265" s="80" t="s">
        <v>1221</v>
      </c>
      <c r="W265" s="82" t="str">
        <f>HYPERLINK("https://www.youtube.com/watch?v=H84UJn1CiWo")</f>
        <v>https://www.youtube.com/watch?v=H84UJn1CiWo</v>
      </c>
      <c r="X265" s="80" t="s">
        <v>213</v>
      </c>
      <c r="Y265" s="80">
        <v>0</v>
      </c>
      <c r="Z265" s="84">
        <v>44002.73946759259</v>
      </c>
      <c r="AA265" s="84">
        <v>44002.73946759259</v>
      </c>
      <c r="AB265" s="80"/>
      <c r="AC265" s="80"/>
      <c r="AD265" s="80"/>
      <c r="AE265" s="80">
        <v>1</v>
      </c>
      <c r="AF265" s="79" t="str">
        <f>REPLACE(INDEX(GroupVertices[Group],MATCH(Edges[[#This Row],[Vertex 1]],GroupVertices[Vertex],0)),1,1,"")</f>
        <v>3</v>
      </c>
      <c r="AG265" s="79" t="str">
        <f>REPLACE(INDEX(GroupVertices[Group],MATCH(Edges[[#This Row],[Vertex 2]],GroupVertices[Vertex],0)),1,1,"")</f>
        <v>3</v>
      </c>
      <c r="AH265" s="34"/>
      <c r="AI265" s="34"/>
      <c r="AJ265" s="34"/>
      <c r="AK265" s="34"/>
      <c r="AL265" s="34"/>
      <c r="AM265" s="34"/>
      <c r="AN265" s="34"/>
      <c r="AO265" s="34"/>
      <c r="AP265" s="34"/>
    </row>
    <row r="266" spans="1:42" ht="15">
      <c r="A266" s="65" t="s">
        <v>591</v>
      </c>
      <c r="B266" s="65" t="s">
        <v>578</v>
      </c>
      <c r="C266" s="66" t="s">
        <v>1853</v>
      </c>
      <c r="D266" s="67">
        <v>2</v>
      </c>
      <c r="E266" s="68"/>
      <c r="F266" s="69">
        <v>32</v>
      </c>
      <c r="G266" s="66"/>
      <c r="H266" s="70"/>
      <c r="I266" s="71"/>
      <c r="J266" s="71"/>
      <c r="K266" s="34" t="s">
        <v>66</v>
      </c>
      <c r="L266" s="78">
        <v>266</v>
      </c>
      <c r="M266" s="78"/>
      <c r="N266" s="73"/>
      <c r="O266" s="80" t="s">
        <v>210</v>
      </c>
      <c r="P266" s="80" t="s">
        <v>196</v>
      </c>
      <c r="Q266" s="80" t="s">
        <v>868</v>
      </c>
      <c r="R266" s="80" t="s">
        <v>591</v>
      </c>
      <c r="S266" s="80" t="s">
        <v>1053</v>
      </c>
      <c r="T266" s="82" t="str">
        <f>HYPERLINK("http://www.youtube.com/channel/UC-uHDm8uihmHB6tbP3eSvlw")</f>
        <v>http://www.youtube.com/channel/UC-uHDm8uihmHB6tbP3eSvlw</v>
      </c>
      <c r="U266" s="80"/>
      <c r="V266" s="80" t="s">
        <v>1221</v>
      </c>
      <c r="W266" s="82" t="str">
        <f>HYPERLINK("https://www.youtube.com/watch?v=H84UJn1CiWo")</f>
        <v>https://www.youtube.com/watch?v=H84UJn1CiWo</v>
      </c>
      <c r="X266" s="80" t="s">
        <v>213</v>
      </c>
      <c r="Y266" s="80">
        <v>0</v>
      </c>
      <c r="Z266" s="84">
        <v>44002.68119212963</v>
      </c>
      <c r="AA266" s="84">
        <v>44002.68119212963</v>
      </c>
      <c r="AB266" s="80"/>
      <c r="AC266" s="80"/>
      <c r="AD266" s="80"/>
      <c r="AE266" s="80">
        <v>1</v>
      </c>
      <c r="AF266" s="79" t="str">
        <f>REPLACE(INDEX(GroupVertices[Group],MATCH(Edges[[#This Row],[Vertex 1]],GroupVertices[Vertex],0)),1,1,"")</f>
        <v>3</v>
      </c>
      <c r="AG266" s="79" t="str">
        <f>REPLACE(INDEX(GroupVertices[Group],MATCH(Edges[[#This Row],[Vertex 2]],GroupVertices[Vertex],0)),1,1,"")</f>
        <v>3</v>
      </c>
      <c r="AH266" s="34"/>
      <c r="AI266" s="34"/>
      <c r="AJ266" s="34"/>
      <c r="AK266" s="34"/>
      <c r="AL266" s="34"/>
      <c r="AM266" s="34"/>
      <c r="AN266" s="34"/>
      <c r="AO266" s="34"/>
      <c r="AP266" s="34"/>
    </row>
    <row r="267" spans="1:42" ht="15">
      <c r="A267" s="65" t="s">
        <v>578</v>
      </c>
      <c r="B267" s="65" t="s">
        <v>592</v>
      </c>
      <c r="C267" s="66" t="s">
        <v>1853</v>
      </c>
      <c r="D267" s="67">
        <v>2</v>
      </c>
      <c r="E267" s="68"/>
      <c r="F267" s="69">
        <v>32</v>
      </c>
      <c r="G267" s="66"/>
      <c r="H267" s="70"/>
      <c r="I267" s="71"/>
      <c r="J267" s="71"/>
      <c r="K267" s="34" t="s">
        <v>66</v>
      </c>
      <c r="L267" s="78">
        <v>267</v>
      </c>
      <c r="M267" s="78"/>
      <c r="N267" s="73"/>
      <c r="O267" s="80" t="s">
        <v>211</v>
      </c>
      <c r="P267" s="80" t="s">
        <v>212</v>
      </c>
      <c r="Q267" s="80" t="s">
        <v>869</v>
      </c>
      <c r="R267" s="80" t="s">
        <v>578</v>
      </c>
      <c r="S267" s="80" t="s">
        <v>1040</v>
      </c>
      <c r="T267" s="82" t="str">
        <f>HYPERLINK("http://www.youtube.com/channel/UC5fs7PookxGfDPTo-RU0ReQ")</f>
        <v>http://www.youtube.com/channel/UC5fs7PookxGfDPTo-RU0ReQ</v>
      </c>
      <c r="U267" s="80" t="s">
        <v>1178</v>
      </c>
      <c r="V267" s="80" t="s">
        <v>1222</v>
      </c>
      <c r="W267" s="82" t="str">
        <f>HYPERLINK("https://www.youtube.com/watch?v=reMTzRcLzBw")</f>
        <v>https://www.youtube.com/watch?v=reMTzRcLzBw</v>
      </c>
      <c r="X267" s="80" t="s">
        <v>213</v>
      </c>
      <c r="Y267" s="80">
        <v>0</v>
      </c>
      <c r="Z267" s="84">
        <v>44002.41538194445</v>
      </c>
      <c r="AA267" s="84">
        <v>44002.41538194445</v>
      </c>
      <c r="AB267" s="80"/>
      <c r="AC267" s="80"/>
      <c r="AD267" s="80"/>
      <c r="AE267" s="80">
        <v>1</v>
      </c>
      <c r="AF267" s="79" t="str">
        <f>REPLACE(INDEX(GroupVertices[Group],MATCH(Edges[[#This Row],[Vertex 1]],GroupVertices[Vertex],0)),1,1,"")</f>
        <v>3</v>
      </c>
      <c r="AG267" s="79" t="str">
        <f>REPLACE(INDEX(GroupVertices[Group],MATCH(Edges[[#This Row],[Vertex 2]],GroupVertices[Vertex],0)),1,1,"")</f>
        <v>3</v>
      </c>
      <c r="AH267" s="34"/>
      <c r="AI267" s="34"/>
      <c r="AJ267" s="34"/>
      <c r="AK267" s="34"/>
      <c r="AL267" s="34"/>
      <c r="AM267" s="34"/>
      <c r="AN267" s="34"/>
      <c r="AO267" s="34"/>
      <c r="AP267" s="34"/>
    </row>
    <row r="268" spans="1:42" ht="15">
      <c r="A268" s="65" t="s">
        <v>592</v>
      </c>
      <c r="B268" s="65" t="s">
        <v>578</v>
      </c>
      <c r="C268" s="66" t="s">
        <v>1853</v>
      </c>
      <c r="D268" s="67">
        <v>2</v>
      </c>
      <c r="E268" s="68"/>
      <c r="F268" s="69">
        <v>32</v>
      </c>
      <c r="G268" s="66"/>
      <c r="H268" s="70"/>
      <c r="I268" s="71"/>
      <c r="J268" s="71"/>
      <c r="K268" s="34" t="s">
        <v>66</v>
      </c>
      <c r="L268" s="78">
        <v>268</v>
      </c>
      <c r="M268" s="78"/>
      <c r="N268" s="73"/>
      <c r="O268" s="80" t="s">
        <v>210</v>
      </c>
      <c r="P268" s="80" t="s">
        <v>196</v>
      </c>
      <c r="Q268" s="80" t="s">
        <v>870</v>
      </c>
      <c r="R268" s="80" t="s">
        <v>592</v>
      </c>
      <c r="S268" s="80" t="s">
        <v>1054</v>
      </c>
      <c r="T268" s="82" t="str">
        <f>HYPERLINK("http://www.youtube.com/channel/UCBmtHMjCvI_0soJvCAee7nA")</f>
        <v>http://www.youtube.com/channel/UCBmtHMjCvI_0soJvCAee7nA</v>
      </c>
      <c r="U268" s="80"/>
      <c r="V268" s="80" t="s">
        <v>1222</v>
      </c>
      <c r="W268" s="82" t="str">
        <f>HYPERLINK("https://www.youtube.com/watch?v=reMTzRcLzBw")</f>
        <v>https://www.youtube.com/watch?v=reMTzRcLzBw</v>
      </c>
      <c r="X268" s="80" t="s">
        <v>213</v>
      </c>
      <c r="Y268" s="80">
        <v>0</v>
      </c>
      <c r="Z268" s="84">
        <v>44002.40841435185</v>
      </c>
      <c r="AA268" s="84">
        <v>44002.40841435185</v>
      </c>
      <c r="AB268" s="80"/>
      <c r="AC268" s="80"/>
      <c r="AD268" s="80"/>
      <c r="AE268" s="80">
        <v>1</v>
      </c>
      <c r="AF268" s="79" t="str">
        <f>REPLACE(INDEX(GroupVertices[Group],MATCH(Edges[[#This Row],[Vertex 1]],GroupVertices[Vertex],0)),1,1,"")</f>
        <v>3</v>
      </c>
      <c r="AG268" s="79" t="str">
        <f>REPLACE(INDEX(GroupVertices[Group],MATCH(Edges[[#This Row],[Vertex 2]],GroupVertices[Vertex],0)),1,1,"")</f>
        <v>3</v>
      </c>
      <c r="AH268" s="34"/>
      <c r="AI268" s="34"/>
      <c r="AJ268" s="34"/>
      <c r="AK268" s="34"/>
      <c r="AL268" s="34"/>
      <c r="AM268" s="34"/>
      <c r="AN268" s="34"/>
      <c r="AO268" s="34"/>
      <c r="AP268" s="34"/>
    </row>
    <row r="269" spans="1:42" ht="15">
      <c r="A269" s="65" t="s">
        <v>578</v>
      </c>
      <c r="B269" s="65" t="s">
        <v>577</v>
      </c>
      <c r="C269" s="66" t="s">
        <v>1853</v>
      </c>
      <c r="D269" s="67">
        <v>2</v>
      </c>
      <c r="E269" s="68"/>
      <c r="F269" s="69">
        <v>32</v>
      </c>
      <c r="G269" s="66"/>
      <c r="H269" s="70"/>
      <c r="I269" s="71"/>
      <c r="J269" s="71"/>
      <c r="K269" s="34" t="s">
        <v>66</v>
      </c>
      <c r="L269" s="78">
        <v>269</v>
      </c>
      <c r="M269" s="78"/>
      <c r="N269" s="73"/>
      <c r="O269" s="80" t="s">
        <v>211</v>
      </c>
      <c r="P269" s="80" t="s">
        <v>212</v>
      </c>
      <c r="Q269" s="80" t="s">
        <v>871</v>
      </c>
      <c r="R269" s="80" t="s">
        <v>578</v>
      </c>
      <c r="S269" s="80" t="s">
        <v>1040</v>
      </c>
      <c r="T269" s="82" t="str">
        <f>HYPERLINK("http://www.youtube.com/channel/UC5fs7PookxGfDPTo-RU0ReQ")</f>
        <v>http://www.youtube.com/channel/UC5fs7PookxGfDPTo-RU0ReQ</v>
      </c>
      <c r="U269" s="80" t="s">
        <v>1170</v>
      </c>
      <c r="V269" s="80" t="s">
        <v>1221</v>
      </c>
      <c r="W269" s="82" t="str">
        <f>HYPERLINK("https://www.youtube.com/watch?v=H84UJn1CiWo")</f>
        <v>https://www.youtube.com/watch?v=H84UJn1CiWo</v>
      </c>
      <c r="X269" s="80" t="s">
        <v>213</v>
      </c>
      <c r="Y269" s="80">
        <v>0</v>
      </c>
      <c r="Z269" s="84">
        <v>44001.92153935185</v>
      </c>
      <c r="AA269" s="84">
        <v>44001.92153935185</v>
      </c>
      <c r="AB269" s="80"/>
      <c r="AC269" s="80"/>
      <c r="AD269" s="80"/>
      <c r="AE269" s="80">
        <v>1</v>
      </c>
      <c r="AF269" s="79" t="str">
        <f>REPLACE(INDEX(GroupVertices[Group],MATCH(Edges[[#This Row],[Vertex 1]],GroupVertices[Vertex],0)),1,1,"")</f>
        <v>3</v>
      </c>
      <c r="AG269" s="79" t="str">
        <f>REPLACE(INDEX(GroupVertices[Group],MATCH(Edges[[#This Row],[Vertex 2]],GroupVertices[Vertex],0)),1,1,"")</f>
        <v>3</v>
      </c>
      <c r="AH269" s="34"/>
      <c r="AI269" s="34"/>
      <c r="AJ269" s="34"/>
      <c r="AK269" s="34"/>
      <c r="AL269" s="34"/>
      <c r="AM269" s="34"/>
      <c r="AN269" s="34"/>
      <c r="AO269" s="34"/>
      <c r="AP269" s="34"/>
    </row>
    <row r="270" spans="1:42" ht="15">
      <c r="A270" s="65" t="s">
        <v>577</v>
      </c>
      <c r="B270" s="65" t="s">
        <v>578</v>
      </c>
      <c r="C270" s="66" t="s">
        <v>1853</v>
      </c>
      <c r="D270" s="67">
        <v>2</v>
      </c>
      <c r="E270" s="68"/>
      <c r="F270" s="69">
        <v>32</v>
      </c>
      <c r="G270" s="66"/>
      <c r="H270" s="70"/>
      <c r="I270" s="71"/>
      <c r="J270" s="71"/>
      <c r="K270" s="34" t="s">
        <v>66</v>
      </c>
      <c r="L270" s="78">
        <v>270</v>
      </c>
      <c r="M270" s="78"/>
      <c r="N270" s="73"/>
      <c r="O270" s="80" t="s">
        <v>210</v>
      </c>
      <c r="P270" s="80" t="s">
        <v>196</v>
      </c>
      <c r="Q270" s="80" t="s">
        <v>872</v>
      </c>
      <c r="R270" s="80" t="s">
        <v>577</v>
      </c>
      <c r="S270" s="80" t="s">
        <v>1039</v>
      </c>
      <c r="T270" s="82" t="str">
        <f>HYPERLINK("http://www.youtube.com/channel/UCxmSF_xV8EqQkoPYJL0bQLA")</f>
        <v>http://www.youtube.com/channel/UCxmSF_xV8EqQkoPYJL0bQLA</v>
      </c>
      <c r="U270" s="80"/>
      <c r="V270" s="80" t="s">
        <v>1221</v>
      </c>
      <c r="W270" s="82" t="str">
        <f>HYPERLINK("https://www.youtube.com/watch?v=H84UJn1CiWo")</f>
        <v>https://www.youtube.com/watch?v=H84UJn1CiWo</v>
      </c>
      <c r="X270" s="80" t="s">
        <v>213</v>
      </c>
      <c r="Y270" s="80">
        <v>0</v>
      </c>
      <c r="Z270" s="84">
        <v>44001.88574074074</v>
      </c>
      <c r="AA270" s="84">
        <v>44001.88574074074</v>
      </c>
      <c r="AB270" s="80" t="s">
        <v>1245</v>
      </c>
      <c r="AC270" s="80" t="s">
        <v>1258</v>
      </c>
      <c r="AD270" s="80"/>
      <c r="AE270" s="80">
        <v>1</v>
      </c>
      <c r="AF270" s="79" t="str">
        <f>REPLACE(INDEX(GroupVertices[Group],MATCH(Edges[[#This Row],[Vertex 1]],GroupVertices[Vertex],0)),1,1,"")</f>
        <v>3</v>
      </c>
      <c r="AG270" s="79" t="str">
        <f>REPLACE(INDEX(GroupVertices[Group],MATCH(Edges[[#This Row],[Vertex 2]],GroupVertices[Vertex],0)),1,1,"")</f>
        <v>3</v>
      </c>
      <c r="AH270" s="34"/>
      <c r="AI270" s="34"/>
      <c r="AJ270" s="34"/>
      <c r="AK270" s="34"/>
      <c r="AL270" s="34"/>
      <c r="AM270" s="34"/>
      <c r="AN270" s="34"/>
      <c r="AO270" s="34"/>
      <c r="AP270" s="34"/>
    </row>
    <row r="271" spans="1:42" ht="15">
      <c r="A271" s="65" t="s">
        <v>578</v>
      </c>
      <c r="B271" s="65" t="s">
        <v>593</v>
      </c>
      <c r="C271" s="66" t="s">
        <v>1853</v>
      </c>
      <c r="D271" s="67">
        <v>2</v>
      </c>
      <c r="E271" s="68"/>
      <c r="F271" s="69">
        <v>32</v>
      </c>
      <c r="G271" s="66"/>
      <c r="H271" s="70"/>
      <c r="I271" s="71"/>
      <c r="J271" s="71"/>
      <c r="K271" s="34" t="s">
        <v>66</v>
      </c>
      <c r="L271" s="78">
        <v>271</v>
      </c>
      <c r="M271" s="78"/>
      <c r="N271" s="73"/>
      <c r="O271" s="80" t="s">
        <v>211</v>
      </c>
      <c r="P271" s="80" t="s">
        <v>212</v>
      </c>
      <c r="Q271" s="80" t="s">
        <v>873</v>
      </c>
      <c r="R271" s="80" t="s">
        <v>578</v>
      </c>
      <c r="S271" s="80" t="s">
        <v>1040</v>
      </c>
      <c r="T271" s="82" t="str">
        <f>HYPERLINK("http://www.youtube.com/channel/UC5fs7PookxGfDPTo-RU0ReQ")</f>
        <v>http://www.youtube.com/channel/UC5fs7PookxGfDPTo-RU0ReQ</v>
      </c>
      <c r="U271" s="80" t="s">
        <v>1179</v>
      </c>
      <c r="V271" s="80" t="s">
        <v>1222</v>
      </c>
      <c r="W271" s="82" t="str">
        <f>HYPERLINK("https://www.youtube.com/watch?v=reMTzRcLzBw")</f>
        <v>https://www.youtube.com/watch?v=reMTzRcLzBw</v>
      </c>
      <c r="X271" s="80" t="s">
        <v>213</v>
      </c>
      <c r="Y271" s="80">
        <v>0</v>
      </c>
      <c r="Z271" s="84">
        <v>44002.614270833335</v>
      </c>
      <c r="AA271" s="84">
        <v>44002.614270833335</v>
      </c>
      <c r="AB271" s="80"/>
      <c r="AC271" s="80"/>
      <c r="AD271" s="80"/>
      <c r="AE271" s="80">
        <v>1</v>
      </c>
      <c r="AF271" s="79" t="str">
        <f>REPLACE(INDEX(GroupVertices[Group],MATCH(Edges[[#This Row],[Vertex 1]],GroupVertices[Vertex],0)),1,1,"")</f>
        <v>3</v>
      </c>
      <c r="AG271" s="79" t="str">
        <f>REPLACE(INDEX(GroupVertices[Group],MATCH(Edges[[#This Row],[Vertex 2]],GroupVertices[Vertex],0)),1,1,"")</f>
        <v>3</v>
      </c>
      <c r="AH271" s="34"/>
      <c r="AI271" s="34"/>
      <c r="AJ271" s="34"/>
      <c r="AK271" s="34"/>
      <c r="AL271" s="34"/>
      <c r="AM271" s="34"/>
      <c r="AN271" s="34"/>
      <c r="AO271" s="34"/>
      <c r="AP271" s="34"/>
    </row>
    <row r="272" spans="1:42" ht="15">
      <c r="A272" s="65" t="s">
        <v>593</v>
      </c>
      <c r="B272" s="65" t="s">
        <v>578</v>
      </c>
      <c r="C272" s="66" t="s">
        <v>1853</v>
      </c>
      <c r="D272" s="67">
        <v>2</v>
      </c>
      <c r="E272" s="68"/>
      <c r="F272" s="69">
        <v>32</v>
      </c>
      <c r="G272" s="66"/>
      <c r="H272" s="70"/>
      <c r="I272" s="71"/>
      <c r="J272" s="71"/>
      <c r="K272" s="34" t="s">
        <v>66</v>
      </c>
      <c r="L272" s="78">
        <v>272</v>
      </c>
      <c r="M272" s="78"/>
      <c r="N272" s="73"/>
      <c r="O272" s="80" t="s">
        <v>210</v>
      </c>
      <c r="P272" s="80" t="s">
        <v>196</v>
      </c>
      <c r="Q272" s="80" t="s">
        <v>874</v>
      </c>
      <c r="R272" s="80" t="s">
        <v>593</v>
      </c>
      <c r="S272" s="80" t="s">
        <v>1055</v>
      </c>
      <c r="T272" s="82" t="str">
        <f>HYPERLINK("http://www.youtube.com/channel/UCHk7yTkeOaJiuYwAYHciXdA")</f>
        <v>http://www.youtube.com/channel/UCHk7yTkeOaJiuYwAYHciXdA</v>
      </c>
      <c r="U272" s="80"/>
      <c r="V272" s="80" t="s">
        <v>1222</v>
      </c>
      <c r="W272" s="82" t="str">
        <f>HYPERLINK("https://www.youtube.com/watch?v=reMTzRcLzBw")</f>
        <v>https://www.youtube.com/watch?v=reMTzRcLzBw</v>
      </c>
      <c r="X272" s="80" t="s">
        <v>213</v>
      </c>
      <c r="Y272" s="80">
        <v>0</v>
      </c>
      <c r="Z272" s="84">
        <v>44002.59521990741</v>
      </c>
      <c r="AA272" s="84">
        <v>44002.59521990741</v>
      </c>
      <c r="AB272" s="80"/>
      <c r="AC272" s="80"/>
      <c r="AD272" s="80"/>
      <c r="AE272" s="80">
        <v>1</v>
      </c>
      <c r="AF272" s="79" t="str">
        <f>REPLACE(INDEX(GroupVertices[Group],MATCH(Edges[[#This Row],[Vertex 1]],GroupVertices[Vertex],0)),1,1,"")</f>
        <v>3</v>
      </c>
      <c r="AG272" s="79" t="str">
        <f>REPLACE(INDEX(GroupVertices[Group],MATCH(Edges[[#This Row],[Vertex 2]],GroupVertices[Vertex],0)),1,1,"")</f>
        <v>3</v>
      </c>
      <c r="AH272" s="34"/>
      <c r="AI272" s="34"/>
      <c r="AJ272" s="34"/>
      <c r="AK272" s="34"/>
      <c r="AL272" s="34"/>
      <c r="AM272" s="34"/>
      <c r="AN272" s="34"/>
      <c r="AO272" s="34"/>
      <c r="AP272" s="34"/>
    </row>
    <row r="273" spans="1:42" ht="15">
      <c r="A273" s="65" t="s">
        <v>594</v>
      </c>
      <c r="B273" s="65" t="s">
        <v>595</v>
      </c>
      <c r="C273" s="66" t="s">
        <v>1853</v>
      </c>
      <c r="D273" s="67">
        <v>2</v>
      </c>
      <c r="E273" s="68"/>
      <c r="F273" s="69">
        <v>32</v>
      </c>
      <c r="G273" s="66"/>
      <c r="H273" s="70"/>
      <c r="I273" s="71"/>
      <c r="J273" s="71"/>
      <c r="K273" s="34" t="s">
        <v>66</v>
      </c>
      <c r="L273" s="78">
        <v>273</v>
      </c>
      <c r="M273" s="78"/>
      <c r="N273" s="73"/>
      <c r="O273" s="80" t="s">
        <v>211</v>
      </c>
      <c r="P273" s="80" t="s">
        <v>212</v>
      </c>
      <c r="Q273" s="80" t="s">
        <v>875</v>
      </c>
      <c r="R273" s="80" t="s">
        <v>594</v>
      </c>
      <c r="S273" s="80" t="s">
        <v>1056</v>
      </c>
      <c r="T273" s="82" t="str">
        <f>HYPERLINK("http://www.youtube.com/channel/UCR5WT6Lkv9pdX_xsvQ6YyDg")</f>
        <v>http://www.youtube.com/channel/UCR5WT6Lkv9pdX_xsvQ6YyDg</v>
      </c>
      <c r="U273" s="80" t="s">
        <v>1180</v>
      </c>
      <c r="V273" s="80" t="s">
        <v>1223</v>
      </c>
      <c r="W273" s="82" t="str">
        <f>HYPERLINK("https://www.youtube.com/watch?v=6vJIAJNTdG0")</f>
        <v>https://www.youtube.com/watch?v=6vJIAJNTdG0</v>
      </c>
      <c r="X273" s="80" t="s">
        <v>213</v>
      </c>
      <c r="Y273" s="80">
        <v>1</v>
      </c>
      <c r="Z273" s="84">
        <v>44002.69060185185</v>
      </c>
      <c r="AA273" s="84">
        <v>44002.69060185185</v>
      </c>
      <c r="AB273" s="80"/>
      <c r="AC273" s="80"/>
      <c r="AD273" s="80"/>
      <c r="AE273" s="80">
        <v>1</v>
      </c>
      <c r="AF273" s="79" t="str">
        <f>REPLACE(INDEX(GroupVertices[Group],MATCH(Edges[[#This Row],[Vertex 1]],GroupVertices[Vertex],0)),1,1,"")</f>
        <v>8</v>
      </c>
      <c r="AG273" s="79" t="str">
        <f>REPLACE(INDEX(GroupVertices[Group],MATCH(Edges[[#This Row],[Vertex 2]],GroupVertices[Vertex],0)),1,1,"")</f>
        <v>8</v>
      </c>
      <c r="AH273" s="34"/>
      <c r="AI273" s="34"/>
      <c r="AJ273" s="34"/>
      <c r="AK273" s="34"/>
      <c r="AL273" s="34"/>
      <c r="AM273" s="34"/>
      <c r="AN273" s="34"/>
      <c r="AO273" s="34"/>
      <c r="AP273" s="34"/>
    </row>
    <row r="274" spans="1:42" ht="15">
      <c r="A274" s="65" t="s">
        <v>595</v>
      </c>
      <c r="B274" s="65" t="s">
        <v>594</v>
      </c>
      <c r="C274" s="66" t="s">
        <v>1853</v>
      </c>
      <c r="D274" s="67">
        <v>2</v>
      </c>
      <c r="E274" s="68"/>
      <c r="F274" s="69">
        <v>32</v>
      </c>
      <c r="G274" s="66"/>
      <c r="H274" s="70"/>
      <c r="I274" s="71"/>
      <c r="J274" s="71"/>
      <c r="K274" s="34" t="s">
        <v>66</v>
      </c>
      <c r="L274" s="78">
        <v>274</v>
      </c>
      <c r="M274" s="78"/>
      <c r="N274" s="73"/>
      <c r="O274" s="80" t="s">
        <v>210</v>
      </c>
      <c r="P274" s="80" t="s">
        <v>196</v>
      </c>
      <c r="Q274" s="80" t="s">
        <v>876</v>
      </c>
      <c r="R274" s="80" t="s">
        <v>595</v>
      </c>
      <c r="S274" s="80" t="s">
        <v>1057</v>
      </c>
      <c r="T274" s="82" t="str">
        <f>HYPERLINK("http://www.youtube.com/channel/UCJNf_zUjSFMnCJSjjr2I2cw")</f>
        <v>http://www.youtube.com/channel/UCJNf_zUjSFMnCJSjjr2I2cw</v>
      </c>
      <c r="U274" s="80"/>
      <c r="V274" s="80" t="s">
        <v>1223</v>
      </c>
      <c r="W274" s="82" t="str">
        <f>HYPERLINK("https://www.youtube.com/watch?v=6vJIAJNTdG0")</f>
        <v>https://www.youtube.com/watch?v=6vJIAJNTdG0</v>
      </c>
      <c r="X274" s="80" t="s">
        <v>213</v>
      </c>
      <c r="Y274" s="80">
        <v>1</v>
      </c>
      <c r="Z274" s="84">
        <v>44002.646840277775</v>
      </c>
      <c r="AA274" s="84">
        <v>44002.646840277775</v>
      </c>
      <c r="AB274" s="80"/>
      <c r="AC274" s="80"/>
      <c r="AD274" s="80"/>
      <c r="AE274" s="80">
        <v>1</v>
      </c>
      <c r="AF274" s="79" t="str">
        <f>REPLACE(INDEX(GroupVertices[Group],MATCH(Edges[[#This Row],[Vertex 1]],GroupVertices[Vertex],0)),1,1,"")</f>
        <v>8</v>
      </c>
      <c r="AG274" s="79" t="str">
        <f>REPLACE(INDEX(GroupVertices[Group],MATCH(Edges[[#This Row],[Vertex 2]],GroupVertices[Vertex],0)),1,1,"")</f>
        <v>8</v>
      </c>
      <c r="AH274" s="34"/>
      <c r="AI274" s="34"/>
      <c r="AJ274" s="34"/>
      <c r="AK274" s="34"/>
      <c r="AL274" s="34"/>
      <c r="AM274" s="34"/>
      <c r="AN274" s="34"/>
      <c r="AO274" s="34"/>
      <c r="AP274" s="34"/>
    </row>
    <row r="275" spans="1:42" ht="15">
      <c r="A275" s="65" t="s">
        <v>594</v>
      </c>
      <c r="B275" s="65" t="s">
        <v>596</v>
      </c>
      <c r="C275" s="66" t="s">
        <v>1853</v>
      </c>
      <c r="D275" s="67">
        <v>2</v>
      </c>
      <c r="E275" s="68"/>
      <c r="F275" s="69">
        <v>32</v>
      </c>
      <c r="G275" s="66"/>
      <c r="H275" s="70"/>
      <c r="I275" s="71"/>
      <c r="J275" s="71"/>
      <c r="K275" s="34" t="s">
        <v>66</v>
      </c>
      <c r="L275" s="78">
        <v>275</v>
      </c>
      <c r="M275" s="78"/>
      <c r="N275" s="73"/>
      <c r="O275" s="80" t="s">
        <v>211</v>
      </c>
      <c r="P275" s="80" t="s">
        <v>212</v>
      </c>
      <c r="Q275" s="80" t="s">
        <v>877</v>
      </c>
      <c r="R275" s="80" t="s">
        <v>594</v>
      </c>
      <c r="S275" s="80" t="s">
        <v>1056</v>
      </c>
      <c r="T275" s="82" t="str">
        <f>HYPERLINK("http://www.youtube.com/channel/UCR5WT6Lkv9pdX_xsvQ6YyDg")</f>
        <v>http://www.youtube.com/channel/UCR5WT6Lkv9pdX_xsvQ6YyDg</v>
      </c>
      <c r="U275" s="80" t="s">
        <v>1181</v>
      </c>
      <c r="V275" s="80" t="s">
        <v>1223</v>
      </c>
      <c r="W275" s="82" t="str">
        <f>HYPERLINK("https://www.youtube.com/watch?v=6vJIAJNTdG0")</f>
        <v>https://www.youtube.com/watch?v=6vJIAJNTdG0</v>
      </c>
      <c r="X275" s="80" t="s">
        <v>213</v>
      </c>
      <c r="Y275" s="80">
        <v>0</v>
      </c>
      <c r="Z275" s="84">
        <v>44003.16820601852</v>
      </c>
      <c r="AA275" s="84">
        <v>44003.16820601852</v>
      </c>
      <c r="AB275" s="80"/>
      <c r="AC275" s="80"/>
      <c r="AD275" s="80"/>
      <c r="AE275" s="80">
        <v>1</v>
      </c>
      <c r="AF275" s="79" t="str">
        <f>REPLACE(INDEX(GroupVertices[Group],MATCH(Edges[[#This Row],[Vertex 1]],GroupVertices[Vertex],0)),1,1,"")</f>
        <v>8</v>
      </c>
      <c r="AG275" s="79" t="str">
        <f>REPLACE(INDEX(GroupVertices[Group],MATCH(Edges[[#This Row],[Vertex 2]],GroupVertices[Vertex],0)),1,1,"")</f>
        <v>8</v>
      </c>
      <c r="AH275" s="34"/>
      <c r="AI275" s="34"/>
      <c r="AJ275" s="34"/>
      <c r="AK275" s="34"/>
      <c r="AL275" s="34"/>
      <c r="AM275" s="34"/>
      <c r="AN275" s="34"/>
      <c r="AO275" s="34"/>
      <c r="AP275" s="34"/>
    </row>
    <row r="276" spans="1:42" ht="15">
      <c r="A276" s="65" t="s">
        <v>596</v>
      </c>
      <c r="B276" s="65" t="s">
        <v>594</v>
      </c>
      <c r="C276" s="66" t="s">
        <v>1853</v>
      </c>
      <c r="D276" s="67">
        <v>2</v>
      </c>
      <c r="E276" s="68"/>
      <c r="F276" s="69">
        <v>32</v>
      </c>
      <c r="G276" s="66"/>
      <c r="H276" s="70"/>
      <c r="I276" s="71"/>
      <c r="J276" s="71"/>
      <c r="K276" s="34" t="s">
        <v>66</v>
      </c>
      <c r="L276" s="78">
        <v>276</v>
      </c>
      <c r="M276" s="78"/>
      <c r="N276" s="73"/>
      <c r="O276" s="80" t="s">
        <v>210</v>
      </c>
      <c r="P276" s="80" t="s">
        <v>196</v>
      </c>
      <c r="Q276" s="80" t="s">
        <v>878</v>
      </c>
      <c r="R276" s="80" t="s">
        <v>596</v>
      </c>
      <c r="S276" s="80" t="s">
        <v>1058</v>
      </c>
      <c r="T276" s="82" t="str">
        <f>HYPERLINK("http://www.youtube.com/channel/UCOnfASrbw0effD5EpxKpnmA")</f>
        <v>http://www.youtube.com/channel/UCOnfASrbw0effD5EpxKpnmA</v>
      </c>
      <c r="U276" s="80"/>
      <c r="V276" s="80" t="s">
        <v>1223</v>
      </c>
      <c r="W276" s="82" t="str">
        <f>HYPERLINK("https://www.youtube.com/watch?v=6vJIAJNTdG0")</f>
        <v>https://www.youtube.com/watch?v=6vJIAJNTdG0</v>
      </c>
      <c r="X276" s="80" t="s">
        <v>213</v>
      </c>
      <c r="Y276" s="80">
        <v>0</v>
      </c>
      <c r="Z276" s="84">
        <v>44002.91677083333</v>
      </c>
      <c r="AA276" s="84">
        <v>44002.91677083333</v>
      </c>
      <c r="AB276" s="80"/>
      <c r="AC276" s="80"/>
      <c r="AD276" s="80"/>
      <c r="AE276" s="80">
        <v>1</v>
      </c>
      <c r="AF276" s="79" t="str">
        <f>REPLACE(INDEX(GroupVertices[Group],MATCH(Edges[[#This Row],[Vertex 1]],GroupVertices[Vertex],0)),1,1,"")</f>
        <v>8</v>
      </c>
      <c r="AG276" s="79" t="str">
        <f>REPLACE(INDEX(GroupVertices[Group],MATCH(Edges[[#This Row],[Vertex 2]],GroupVertices[Vertex],0)),1,1,"")</f>
        <v>8</v>
      </c>
      <c r="AH276" s="34"/>
      <c r="AI276" s="34"/>
      <c r="AJ276" s="34"/>
      <c r="AK276" s="34"/>
      <c r="AL276" s="34"/>
      <c r="AM276" s="34"/>
      <c r="AN276" s="34"/>
      <c r="AO276" s="34"/>
      <c r="AP276" s="34"/>
    </row>
    <row r="277" spans="1:42" ht="15">
      <c r="A277" s="65" t="s">
        <v>568</v>
      </c>
      <c r="B277" s="65" t="s">
        <v>597</v>
      </c>
      <c r="C277" s="66" t="s">
        <v>1853</v>
      </c>
      <c r="D277" s="67">
        <v>2</v>
      </c>
      <c r="E277" s="68"/>
      <c r="F277" s="69">
        <v>32</v>
      </c>
      <c r="G277" s="66"/>
      <c r="H277" s="70"/>
      <c r="I277" s="71"/>
      <c r="J277" s="71"/>
      <c r="K277" s="34" t="s">
        <v>66</v>
      </c>
      <c r="L277" s="78">
        <v>277</v>
      </c>
      <c r="M277" s="78"/>
      <c r="N277" s="73"/>
      <c r="O277" s="80" t="s">
        <v>211</v>
      </c>
      <c r="P277" s="80" t="s">
        <v>212</v>
      </c>
      <c r="Q277" s="80" t="s">
        <v>831</v>
      </c>
      <c r="R277" s="80" t="s">
        <v>568</v>
      </c>
      <c r="S277" s="80" t="s">
        <v>1030</v>
      </c>
      <c r="T277" s="82" t="str">
        <f>HYPERLINK("http://www.youtube.com/channel/UCHQ7g1xX-e9rghxNR4ChsOg")</f>
        <v>http://www.youtube.com/channel/UCHQ7g1xX-e9rghxNR4ChsOg</v>
      </c>
      <c r="U277" s="80" t="s">
        <v>1182</v>
      </c>
      <c r="V277" s="80" t="s">
        <v>1224</v>
      </c>
      <c r="W277" s="82" t="str">
        <f>HYPERLINK("https://www.youtube.com/watch?v=XDmnHdGD5iE")</f>
        <v>https://www.youtube.com/watch?v=XDmnHdGD5iE</v>
      </c>
      <c r="X277" s="80" t="s">
        <v>213</v>
      </c>
      <c r="Y277" s="80">
        <v>0</v>
      </c>
      <c r="Z277" s="84">
        <v>44002.668645833335</v>
      </c>
      <c r="AA277" s="84">
        <v>44002.668645833335</v>
      </c>
      <c r="AB277" s="80"/>
      <c r="AC277" s="80"/>
      <c r="AD277" s="80"/>
      <c r="AE277" s="80">
        <v>1</v>
      </c>
      <c r="AF277" s="79" t="str">
        <f>REPLACE(INDEX(GroupVertices[Group],MATCH(Edges[[#This Row],[Vertex 1]],GroupVertices[Vertex],0)),1,1,"")</f>
        <v>9</v>
      </c>
      <c r="AG277" s="79" t="str">
        <f>REPLACE(INDEX(GroupVertices[Group],MATCH(Edges[[#This Row],[Vertex 2]],GroupVertices[Vertex],0)),1,1,"")</f>
        <v>9</v>
      </c>
      <c r="AH277" s="34"/>
      <c r="AI277" s="34"/>
      <c r="AJ277" s="34"/>
      <c r="AK277" s="34"/>
      <c r="AL277" s="34"/>
      <c r="AM277" s="34"/>
      <c r="AN277" s="34"/>
      <c r="AO277" s="34"/>
      <c r="AP277" s="34"/>
    </row>
    <row r="278" spans="1:42" ht="15">
      <c r="A278" s="65" t="s">
        <v>597</v>
      </c>
      <c r="B278" s="65" t="s">
        <v>568</v>
      </c>
      <c r="C278" s="66" t="s">
        <v>1853</v>
      </c>
      <c r="D278" s="67">
        <v>2</v>
      </c>
      <c r="E278" s="68"/>
      <c r="F278" s="69">
        <v>32</v>
      </c>
      <c r="G278" s="66"/>
      <c r="H278" s="70"/>
      <c r="I278" s="71"/>
      <c r="J278" s="71"/>
      <c r="K278" s="34" t="s">
        <v>66</v>
      </c>
      <c r="L278" s="78">
        <v>278</v>
      </c>
      <c r="M278" s="78"/>
      <c r="N278" s="73"/>
      <c r="O278" s="80" t="s">
        <v>210</v>
      </c>
      <c r="P278" s="80" t="s">
        <v>196</v>
      </c>
      <c r="Q278" s="80" t="s">
        <v>879</v>
      </c>
      <c r="R278" s="80" t="s">
        <v>597</v>
      </c>
      <c r="S278" s="80" t="s">
        <v>1059</v>
      </c>
      <c r="T278" s="82" t="str">
        <f>HYPERLINK("http://www.youtube.com/channel/UCKhZm9FwH3Agf6k2p_OIsAQ")</f>
        <v>http://www.youtube.com/channel/UCKhZm9FwH3Agf6k2p_OIsAQ</v>
      </c>
      <c r="U278" s="80"/>
      <c r="V278" s="80" t="s">
        <v>1224</v>
      </c>
      <c r="W278" s="82" t="str">
        <f>HYPERLINK("https://www.youtube.com/watch?v=XDmnHdGD5iE")</f>
        <v>https://www.youtube.com/watch?v=XDmnHdGD5iE</v>
      </c>
      <c r="X278" s="80" t="s">
        <v>213</v>
      </c>
      <c r="Y278" s="80">
        <v>1</v>
      </c>
      <c r="Z278" s="84">
        <v>44002.64456018519</v>
      </c>
      <c r="AA278" s="84">
        <v>44002.64456018519</v>
      </c>
      <c r="AB278" s="80"/>
      <c r="AC278" s="80"/>
      <c r="AD278" s="80"/>
      <c r="AE278" s="80">
        <v>1</v>
      </c>
      <c r="AF278" s="79" t="str">
        <f>REPLACE(INDEX(GroupVertices[Group],MATCH(Edges[[#This Row],[Vertex 1]],GroupVertices[Vertex],0)),1,1,"")</f>
        <v>9</v>
      </c>
      <c r="AG278" s="79" t="str">
        <f>REPLACE(INDEX(GroupVertices[Group],MATCH(Edges[[#This Row],[Vertex 2]],GroupVertices[Vertex],0)),1,1,"")</f>
        <v>9</v>
      </c>
      <c r="AH278" s="34"/>
      <c r="AI278" s="34"/>
      <c r="AJ278" s="34"/>
      <c r="AK278" s="34"/>
      <c r="AL278" s="34"/>
      <c r="AM278" s="34"/>
      <c r="AN278" s="34"/>
      <c r="AO278" s="34"/>
      <c r="AP278" s="34"/>
    </row>
    <row r="279" spans="1:42" ht="15">
      <c r="A279" s="65" t="s">
        <v>568</v>
      </c>
      <c r="B279" s="65" t="s">
        <v>598</v>
      </c>
      <c r="C279" s="66" t="s">
        <v>1853</v>
      </c>
      <c r="D279" s="67">
        <v>2</v>
      </c>
      <c r="E279" s="68"/>
      <c r="F279" s="69">
        <v>32</v>
      </c>
      <c r="G279" s="66"/>
      <c r="H279" s="70"/>
      <c r="I279" s="71"/>
      <c r="J279" s="71"/>
      <c r="K279" s="34" t="s">
        <v>66</v>
      </c>
      <c r="L279" s="78">
        <v>279</v>
      </c>
      <c r="M279" s="78"/>
      <c r="N279" s="73"/>
      <c r="O279" s="80" t="s">
        <v>211</v>
      </c>
      <c r="P279" s="80" t="s">
        <v>212</v>
      </c>
      <c r="Q279" s="80" t="s">
        <v>880</v>
      </c>
      <c r="R279" s="80" t="s">
        <v>568</v>
      </c>
      <c r="S279" s="80" t="s">
        <v>1030</v>
      </c>
      <c r="T279" s="82" t="str">
        <f>HYPERLINK("http://www.youtube.com/channel/UCHQ7g1xX-e9rghxNR4ChsOg")</f>
        <v>http://www.youtube.com/channel/UCHQ7g1xX-e9rghxNR4ChsOg</v>
      </c>
      <c r="U279" s="80" t="s">
        <v>1183</v>
      </c>
      <c r="V279" s="80" t="s">
        <v>1224</v>
      </c>
      <c r="W279" s="82" t="str">
        <f>HYPERLINK("https://www.youtube.com/watch?v=XDmnHdGD5iE")</f>
        <v>https://www.youtube.com/watch?v=XDmnHdGD5iE</v>
      </c>
      <c r="X279" s="80" t="s">
        <v>213</v>
      </c>
      <c r="Y279" s="80">
        <v>0</v>
      </c>
      <c r="Z279" s="84">
        <v>44002.66872685185</v>
      </c>
      <c r="AA279" s="84">
        <v>44002.66872685185</v>
      </c>
      <c r="AB279" s="80"/>
      <c r="AC279" s="80"/>
      <c r="AD279" s="80"/>
      <c r="AE279" s="80">
        <v>1</v>
      </c>
      <c r="AF279" s="79" t="str">
        <f>REPLACE(INDEX(GroupVertices[Group],MATCH(Edges[[#This Row],[Vertex 1]],GroupVertices[Vertex],0)),1,1,"")</f>
        <v>9</v>
      </c>
      <c r="AG279" s="79" t="str">
        <f>REPLACE(INDEX(GroupVertices[Group],MATCH(Edges[[#This Row],[Vertex 2]],GroupVertices[Vertex],0)),1,1,"")</f>
        <v>9</v>
      </c>
      <c r="AH279" s="34"/>
      <c r="AI279" s="34"/>
      <c r="AJ279" s="34"/>
      <c r="AK279" s="34"/>
      <c r="AL279" s="34"/>
      <c r="AM279" s="34"/>
      <c r="AN279" s="34"/>
      <c r="AO279" s="34"/>
      <c r="AP279" s="34"/>
    </row>
    <row r="280" spans="1:42" ht="15">
      <c r="A280" s="65" t="s">
        <v>598</v>
      </c>
      <c r="B280" s="65" t="s">
        <v>568</v>
      </c>
      <c r="C280" s="66" t="s">
        <v>1853</v>
      </c>
      <c r="D280" s="67">
        <v>2</v>
      </c>
      <c r="E280" s="68"/>
      <c r="F280" s="69">
        <v>32</v>
      </c>
      <c r="G280" s="66"/>
      <c r="H280" s="70"/>
      <c r="I280" s="71"/>
      <c r="J280" s="71"/>
      <c r="K280" s="34" t="s">
        <v>66</v>
      </c>
      <c r="L280" s="78">
        <v>280</v>
      </c>
      <c r="M280" s="78"/>
      <c r="N280" s="73"/>
      <c r="O280" s="80" t="s">
        <v>210</v>
      </c>
      <c r="P280" s="80" t="s">
        <v>196</v>
      </c>
      <c r="Q280" s="80" t="s">
        <v>881</v>
      </c>
      <c r="R280" s="80" t="s">
        <v>598</v>
      </c>
      <c r="S280" s="80" t="s">
        <v>1060</v>
      </c>
      <c r="T280" s="82" t="str">
        <f>HYPERLINK("http://www.youtube.com/channel/UCrh8CGftRFYnUFanFFE932A")</f>
        <v>http://www.youtube.com/channel/UCrh8CGftRFYnUFanFFE932A</v>
      </c>
      <c r="U280" s="80"/>
      <c r="V280" s="80" t="s">
        <v>1224</v>
      </c>
      <c r="W280" s="82" t="str">
        <f>HYPERLINK("https://www.youtube.com/watch?v=XDmnHdGD5iE")</f>
        <v>https://www.youtube.com/watch?v=XDmnHdGD5iE</v>
      </c>
      <c r="X280" s="80" t="s">
        <v>213</v>
      </c>
      <c r="Y280" s="80">
        <v>1</v>
      </c>
      <c r="Z280" s="84">
        <v>44002.66043981481</v>
      </c>
      <c r="AA280" s="84">
        <v>44002.66043981481</v>
      </c>
      <c r="AB280" s="80"/>
      <c r="AC280" s="80"/>
      <c r="AD280" s="80"/>
      <c r="AE280" s="80">
        <v>1</v>
      </c>
      <c r="AF280" s="79" t="str">
        <f>REPLACE(INDEX(GroupVertices[Group],MATCH(Edges[[#This Row],[Vertex 1]],GroupVertices[Vertex],0)),1,1,"")</f>
        <v>9</v>
      </c>
      <c r="AG280" s="79" t="str">
        <f>REPLACE(INDEX(GroupVertices[Group],MATCH(Edges[[#This Row],[Vertex 2]],GroupVertices[Vertex],0)),1,1,"")</f>
        <v>9</v>
      </c>
      <c r="AH280" s="34"/>
      <c r="AI280" s="34"/>
      <c r="AJ280" s="34"/>
      <c r="AK280" s="34"/>
      <c r="AL280" s="34"/>
      <c r="AM280" s="34"/>
      <c r="AN280" s="34"/>
      <c r="AO280" s="34"/>
      <c r="AP280" s="34"/>
    </row>
    <row r="281" spans="1:42" ht="15">
      <c r="A281" s="65" t="s">
        <v>568</v>
      </c>
      <c r="B281" s="65" t="s">
        <v>599</v>
      </c>
      <c r="C281" s="66" t="s">
        <v>1833</v>
      </c>
      <c r="D281" s="67">
        <v>2</v>
      </c>
      <c r="E281" s="68"/>
      <c r="F281" s="69">
        <v>32</v>
      </c>
      <c r="G281" s="66"/>
      <c r="H281" s="70"/>
      <c r="I281" s="71"/>
      <c r="J281" s="71"/>
      <c r="K281" s="34" t="s">
        <v>66</v>
      </c>
      <c r="L281" s="78">
        <v>281</v>
      </c>
      <c r="M281" s="78"/>
      <c r="N281" s="73"/>
      <c r="O281" s="80" t="s">
        <v>211</v>
      </c>
      <c r="P281" s="80" t="s">
        <v>212</v>
      </c>
      <c r="Q281" s="80" t="s">
        <v>882</v>
      </c>
      <c r="R281" s="80" t="s">
        <v>568</v>
      </c>
      <c r="S281" s="80" t="s">
        <v>1030</v>
      </c>
      <c r="T281" s="82" t="str">
        <f>HYPERLINK("http://www.youtube.com/channel/UCHQ7g1xX-e9rghxNR4ChsOg")</f>
        <v>http://www.youtube.com/channel/UCHQ7g1xX-e9rghxNR4ChsOg</v>
      </c>
      <c r="U281" s="80" t="s">
        <v>1184</v>
      </c>
      <c r="V281" s="80" t="s">
        <v>1215</v>
      </c>
      <c r="W281" s="82" t="str">
        <f>HYPERLINK("https://www.youtube.com/watch?v=umBP2NJTi7E")</f>
        <v>https://www.youtube.com/watch?v=umBP2NJTi7E</v>
      </c>
      <c r="X281" s="80" t="s">
        <v>213</v>
      </c>
      <c r="Y281" s="80">
        <v>0</v>
      </c>
      <c r="Z281" s="84">
        <v>44001.72994212963</v>
      </c>
      <c r="AA281" s="84">
        <v>44001.72994212963</v>
      </c>
      <c r="AB281" s="80"/>
      <c r="AC281" s="80"/>
      <c r="AD281" s="80"/>
      <c r="AE281" s="80">
        <v>2</v>
      </c>
      <c r="AF281" s="79" t="str">
        <f>REPLACE(INDEX(GroupVertices[Group],MATCH(Edges[[#This Row],[Vertex 1]],GroupVertices[Vertex],0)),1,1,"")</f>
        <v>9</v>
      </c>
      <c r="AG281" s="79" t="str">
        <f>REPLACE(INDEX(GroupVertices[Group],MATCH(Edges[[#This Row],[Vertex 2]],GroupVertices[Vertex],0)),1,1,"")</f>
        <v>9</v>
      </c>
      <c r="AH281" s="34"/>
      <c r="AI281" s="34"/>
      <c r="AJ281" s="34"/>
      <c r="AK281" s="34"/>
      <c r="AL281" s="34"/>
      <c r="AM281" s="34"/>
      <c r="AN281" s="34"/>
      <c r="AO281" s="34"/>
      <c r="AP281" s="34"/>
    </row>
    <row r="282" spans="1:42" ht="15">
      <c r="A282" s="65" t="s">
        <v>599</v>
      </c>
      <c r="B282" s="65" t="s">
        <v>568</v>
      </c>
      <c r="C282" s="66" t="s">
        <v>1833</v>
      </c>
      <c r="D282" s="67">
        <v>2</v>
      </c>
      <c r="E282" s="68"/>
      <c r="F282" s="69">
        <v>32</v>
      </c>
      <c r="G282" s="66"/>
      <c r="H282" s="70"/>
      <c r="I282" s="71"/>
      <c r="J282" s="71"/>
      <c r="K282" s="34" t="s">
        <v>66</v>
      </c>
      <c r="L282" s="78">
        <v>282</v>
      </c>
      <c r="M282" s="78"/>
      <c r="N282" s="73"/>
      <c r="O282" s="80" t="s">
        <v>210</v>
      </c>
      <c r="P282" s="80" t="s">
        <v>196</v>
      </c>
      <c r="Q282" s="80" t="s">
        <v>883</v>
      </c>
      <c r="R282" s="80" t="s">
        <v>599</v>
      </c>
      <c r="S282" s="80" t="s">
        <v>1061</v>
      </c>
      <c r="T282" s="82" t="str">
        <f>HYPERLINK("http://www.youtube.com/channel/UCYyWCfl36cbHL4ObejxDLNw")</f>
        <v>http://www.youtube.com/channel/UCYyWCfl36cbHL4ObejxDLNw</v>
      </c>
      <c r="U282" s="80"/>
      <c r="V282" s="80" t="s">
        <v>1215</v>
      </c>
      <c r="W282" s="82" t="str">
        <f>HYPERLINK("https://www.youtube.com/watch?v=umBP2NJTi7E")</f>
        <v>https://www.youtube.com/watch?v=umBP2NJTi7E</v>
      </c>
      <c r="X282" s="80" t="s">
        <v>213</v>
      </c>
      <c r="Y282" s="80">
        <v>1</v>
      </c>
      <c r="Z282" s="84">
        <v>44001.71741898148</v>
      </c>
      <c r="AA282" s="84">
        <v>44001.71741898148</v>
      </c>
      <c r="AB282" s="80"/>
      <c r="AC282" s="80"/>
      <c r="AD282" s="80"/>
      <c r="AE282" s="80">
        <v>2</v>
      </c>
      <c r="AF282" s="79" t="str">
        <f>REPLACE(INDEX(GroupVertices[Group],MATCH(Edges[[#This Row],[Vertex 1]],GroupVertices[Vertex],0)),1,1,"")</f>
        <v>9</v>
      </c>
      <c r="AG282" s="79" t="str">
        <f>REPLACE(INDEX(GroupVertices[Group],MATCH(Edges[[#This Row],[Vertex 2]],GroupVertices[Vertex],0)),1,1,"")</f>
        <v>9</v>
      </c>
      <c r="AH282" s="34"/>
      <c r="AI282" s="34"/>
      <c r="AJ282" s="34"/>
      <c r="AK282" s="34"/>
      <c r="AL282" s="34"/>
      <c r="AM282" s="34"/>
      <c r="AN282" s="34"/>
      <c r="AO282" s="34"/>
      <c r="AP282" s="34"/>
    </row>
    <row r="283" spans="1:42" ht="15">
      <c r="A283" s="65" t="s">
        <v>568</v>
      </c>
      <c r="B283" s="65" t="s">
        <v>599</v>
      </c>
      <c r="C283" s="66" t="s">
        <v>1833</v>
      </c>
      <c r="D283" s="67">
        <v>2</v>
      </c>
      <c r="E283" s="68"/>
      <c r="F283" s="69">
        <v>32</v>
      </c>
      <c r="G283" s="66"/>
      <c r="H283" s="70"/>
      <c r="I283" s="71"/>
      <c r="J283" s="71"/>
      <c r="K283" s="34" t="s">
        <v>66</v>
      </c>
      <c r="L283" s="78">
        <v>283</v>
      </c>
      <c r="M283" s="78"/>
      <c r="N283" s="73"/>
      <c r="O283" s="80" t="s">
        <v>211</v>
      </c>
      <c r="P283" s="80" t="s">
        <v>212</v>
      </c>
      <c r="Q283" s="80" t="s">
        <v>831</v>
      </c>
      <c r="R283" s="80" t="s">
        <v>568</v>
      </c>
      <c r="S283" s="80" t="s">
        <v>1030</v>
      </c>
      <c r="T283" s="82" t="str">
        <f>HYPERLINK("http://www.youtube.com/channel/UCHQ7g1xX-e9rghxNR4ChsOg")</f>
        <v>http://www.youtube.com/channel/UCHQ7g1xX-e9rghxNR4ChsOg</v>
      </c>
      <c r="U283" s="80" t="s">
        <v>1185</v>
      </c>
      <c r="V283" s="80" t="s">
        <v>1224</v>
      </c>
      <c r="W283" s="82" t="str">
        <f>HYPERLINK("https://www.youtube.com/watch?v=XDmnHdGD5iE")</f>
        <v>https://www.youtube.com/watch?v=XDmnHdGD5iE</v>
      </c>
      <c r="X283" s="80" t="s">
        <v>213</v>
      </c>
      <c r="Y283" s="80">
        <v>0</v>
      </c>
      <c r="Z283" s="84">
        <v>44002.66878472222</v>
      </c>
      <c r="AA283" s="84">
        <v>44002.66878472222</v>
      </c>
      <c r="AB283" s="80"/>
      <c r="AC283" s="80"/>
      <c r="AD283" s="80"/>
      <c r="AE283" s="80">
        <v>2</v>
      </c>
      <c r="AF283" s="79" t="str">
        <f>REPLACE(INDEX(GroupVertices[Group],MATCH(Edges[[#This Row],[Vertex 1]],GroupVertices[Vertex],0)),1,1,"")</f>
        <v>9</v>
      </c>
      <c r="AG283" s="79" t="str">
        <f>REPLACE(INDEX(GroupVertices[Group],MATCH(Edges[[#This Row],[Vertex 2]],GroupVertices[Vertex],0)),1,1,"")</f>
        <v>9</v>
      </c>
      <c r="AH283" s="34"/>
      <c r="AI283" s="34"/>
      <c r="AJ283" s="34"/>
      <c r="AK283" s="34"/>
      <c r="AL283" s="34"/>
      <c r="AM283" s="34"/>
      <c r="AN283" s="34"/>
      <c r="AO283" s="34"/>
      <c r="AP283" s="34"/>
    </row>
    <row r="284" spans="1:42" ht="15">
      <c r="A284" s="65" t="s">
        <v>599</v>
      </c>
      <c r="B284" s="65" t="s">
        <v>568</v>
      </c>
      <c r="C284" s="66" t="s">
        <v>1833</v>
      </c>
      <c r="D284" s="67">
        <v>2</v>
      </c>
      <c r="E284" s="68"/>
      <c r="F284" s="69">
        <v>32</v>
      </c>
      <c r="G284" s="66"/>
      <c r="H284" s="70"/>
      <c r="I284" s="71"/>
      <c r="J284" s="71"/>
      <c r="K284" s="34" t="s">
        <v>66</v>
      </c>
      <c r="L284" s="78">
        <v>284</v>
      </c>
      <c r="M284" s="78"/>
      <c r="N284" s="73"/>
      <c r="O284" s="80" t="s">
        <v>210</v>
      </c>
      <c r="P284" s="80" t="s">
        <v>196</v>
      </c>
      <c r="Q284" s="80" t="s">
        <v>884</v>
      </c>
      <c r="R284" s="80" t="s">
        <v>599</v>
      </c>
      <c r="S284" s="80" t="s">
        <v>1061</v>
      </c>
      <c r="T284" s="82" t="str">
        <f>HYPERLINK("http://www.youtube.com/channel/UCYyWCfl36cbHL4ObejxDLNw")</f>
        <v>http://www.youtube.com/channel/UCYyWCfl36cbHL4ObejxDLNw</v>
      </c>
      <c r="U284" s="80"/>
      <c r="V284" s="80" t="s">
        <v>1224</v>
      </c>
      <c r="W284" s="82" t="str">
        <f>HYPERLINK("https://www.youtube.com/watch?v=XDmnHdGD5iE")</f>
        <v>https://www.youtube.com/watch?v=XDmnHdGD5iE</v>
      </c>
      <c r="X284" s="80" t="s">
        <v>213</v>
      </c>
      <c r="Y284" s="80">
        <v>1</v>
      </c>
      <c r="Z284" s="84">
        <v>44002.66136574074</v>
      </c>
      <c r="AA284" s="84">
        <v>44002.66136574074</v>
      </c>
      <c r="AB284" s="80"/>
      <c r="AC284" s="80"/>
      <c r="AD284" s="80"/>
      <c r="AE284" s="80">
        <v>2</v>
      </c>
      <c r="AF284" s="79" t="str">
        <f>REPLACE(INDEX(GroupVertices[Group],MATCH(Edges[[#This Row],[Vertex 1]],GroupVertices[Vertex],0)),1,1,"")</f>
        <v>9</v>
      </c>
      <c r="AG284" s="79" t="str">
        <f>REPLACE(INDEX(GroupVertices[Group],MATCH(Edges[[#This Row],[Vertex 2]],GroupVertices[Vertex],0)),1,1,"")</f>
        <v>9</v>
      </c>
      <c r="AH284" s="34"/>
      <c r="AI284" s="34"/>
      <c r="AJ284" s="34"/>
      <c r="AK284" s="34"/>
      <c r="AL284" s="34"/>
      <c r="AM284" s="34"/>
      <c r="AN284" s="34"/>
      <c r="AO284" s="34"/>
      <c r="AP284" s="34"/>
    </row>
    <row r="285" spans="1:42" ht="15">
      <c r="A285" s="65" t="s">
        <v>600</v>
      </c>
      <c r="B285" s="65" t="s">
        <v>595</v>
      </c>
      <c r="C285" s="66" t="s">
        <v>1853</v>
      </c>
      <c r="D285" s="67">
        <v>2</v>
      </c>
      <c r="E285" s="68"/>
      <c r="F285" s="69">
        <v>32</v>
      </c>
      <c r="G285" s="66"/>
      <c r="H285" s="70"/>
      <c r="I285" s="71"/>
      <c r="J285" s="71"/>
      <c r="K285" s="34" t="s">
        <v>66</v>
      </c>
      <c r="L285" s="78">
        <v>285</v>
      </c>
      <c r="M285" s="78"/>
      <c r="N285" s="73"/>
      <c r="O285" s="80" t="s">
        <v>211</v>
      </c>
      <c r="P285" s="80" t="s">
        <v>212</v>
      </c>
      <c r="Q285" s="80" t="s">
        <v>885</v>
      </c>
      <c r="R285" s="80" t="s">
        <v>600</v>
      </c>
      <c r="S285" s="80" t="s">
        <v>1062</v>
      </c>
      <c r="T285" s="82" t="str">
        <f>HYPERLINK("http://www.youtube.com/channel/UCLKL6RjR4FG0_kWNw7mJS1A")</f>
        <v>http://www.youtube.com/channel/UCLKL6RjR4FG0_kWNw7mJS1A</v>
      </c>
      <c r="U285" s="80" t="s">
        <v>1186</v>
      </c>
      <c r="V285" s="80" t="s">
        <v>1225</v>
      </c>
      <c r="W285" s="82" t="str">
        <f>HYPERLINK("https://www.youtube.com/watch?v=oVhk6C3hzvk")</f>
        <v>https://www.youtube.com/watch?v=oVhk6C3hzvk</v>
      </c>
      <c r="X285" s="80" t="s">
        <v>213</v>
      </c>
      <c r="Y285" s="80">
        <v>0</v>
      </c>
      <c r="Z285" s="84">
        <v>44002.73886574074</v>
      </c>
      <c r="AA285" s="84">
        <v>44002.73886574074</v>
      </c>
      <c r="AB285" s="80"/>
      <c r="AC285" s="80"/>
      <c r="AD285" s="80"/>
      <c r="AE285" s="80">
        <v>1</v>
      </c>
      <c r="AF285" s="79" t="str">
        <f>REPLACE(INDEX(GroupVertices[Group],MATCH(Edges[[#This Row],[Vertex 1]],GroupVertices[Vertex],0)),1,1,"")</f>
        <v>8</v>
      </c>
      <c r="AG285" s="79" t="str">
        <f>REPLACE(INDEX(GroupVertices[Group],MATCH(Edges[[#This Row],[Vertex 2]],GroupVertices[Vertex],0)),1,1,"")</f>
        <v>8</v>
      </c>
      <c r="AH285" s="34"/>
      <c r="AI285" s="34"/>
      <c r="AJ285" s="34"/>
      <c r="AK285" s="34"/>
      <c r="AL285" s="34"/>
      <c r="AM285" s="34"/>
      <c r="AN285" s="34"/>
      <c r="AO285" s="34"/>
      <c r="AP285" s="34"/>
    </row>
    <row r="286" spans="1:42" ht="15">
      <c r="A286" s="65" t="s">
        <v>595</v>
      </c>
      <c r="B286" s="65" t="s">
        <v>600</v>
      </c>
      <c r="C286" s="66" t="s">
        <v>1853</v>
      </c>
      <c r="D286" s="67">
        <v>2</v>
      </c>
      <c r="E286" s="68"/>
      <c r="F286" s="69">
        <v>32</v>
      </c>
      <c r="G286" s="66"/>
      <c r="H286" s="70"/>
      <c r="I286" s="71"/>
      <c r="J286" s="71"/>
      <c r="K286" s="34" t="s">
        <v>66</v>
      </c>
      <c r="L286" s="78">
        <v>286</v>
      </c>
      <c r="M286" s="78"/>
      <c r="N286" s="73"/>
      <c r="O286" s="80" t="s">
        <v>210</v>
      </c>
      <c r="P286" s="80" t="s">
        <v>196</v>
      </c>
      <c r="Q286" s="80" t="s">
        <v>886</v>
      </c>
      <c r="R286" s="80" t="s">
        <v>595</v>
      </c>
      <c r="S286" s="80" t="s">
        <v>1057</v>
      </c>
      <c r="T286" s="82" t="str">
        <f>HYPERLINK("http://www.youtube.com/channel/UCJNf_zUjSFMnCJSjjr2I2cw")</f>
        <v>http://www.youtube.com/channel/UCJNf_zUjSFMnCJSjjr2I2cw</v>
      </c>
      <c r="U286" s="80"/>
      <c r="V286" s="80" t="s">
        <v>1225</v>
      </c>
      <c r="W286" s="82" t="str">
        <f>HYPERLINK("https://www.youtube.com/watch?v=oVhk6C3hzvk")</f>
        <v>https://www.youtube.com/watch?v=oVhk6C3hzvk</v>
      </c>
      <c r="X286" s="80" t="s">
        <v>213</v>
      </c>
      <c r="Y286" s="80">
        <v>1</v>
      </c>
      <c r="Z286" s="84">
        <v>44002.702060185184</v>
      </c>
      <c r="AA286" s="84">
        <v>44002.702060185184</v>
      </c>
      <c r="AB286" s="80"/>
      <c r="AC286" s="80"/>
      <c r="AD286" s="80"/>
      <c r="AE286" s="80">
        <v>1</v>
      </c>
      <c r="AF286" s="79" t="str">
        <f>REPLACE(INDEX(GroupVertices[Group],MATCH(Edges[[#This Row],[Vertex 1]],GroupVertices[Vertex],0)),1,1,"")</f>
        <v>8</v>
      </c>
      <c r="AG286" s="79" t="str">
        <f>REPLACE(INDEX(GroupVertices[Group],MATCH(Edges[[#This Row],[Vertex 2]],GroupVertices[Vertex],0)),1,1,"")</f>
        <v>8</v>
      </c>
      <c r="AH286" s="34"/>
      <c r="AI286" s="34"/>
      <c r="AJ286" s="34"/>
      <c r="AK286" s="34"/>
      <c r="AL286" s="34"/>
      <c r="AM286" s="34"/>
      <c r="AN286" s="34"/>
      <c r="AO286" s="34"/>
      <c r="AP286" s="34"/>
    </row>
    <row r="287" spans="1:42" ht="15">
      <c r="A287" s="65" t="s">
        <v>600</v>
      </c>
      <c r="B287" s="65" t="s">
        <v>601</v>
      </c>
      <c r="C287" s="66" t="s">
        <v>1853</v>
      </c>
      <c r="D287" s="67">
        <v>2</v>
      </c>
      <c r="E287" s="68"/>
      <c r="F287" s="69">
        <v>32</v>
      </c>
      <c r="G287" s="66"/>
      <c r="H287" s="70"/>
      <c r="I287" s="71"/>
      <c r="J287" s="71"/>
      <c r="K287" s="34" t="s">
        <v>66</v>
      </c>
      <c r="L287" s="78">
        <v>287</v>
      </c>
      <c r="M287" s="78"/>
      <c r="N287" s="73"/>
      <c r="O287" s="80" t="s">
        <v>211</v>
      </c>
      <c r="P287" s="80" t="s">
        <v>212</v>
      </c>
      <c r="Q287" s="80" t="s">
        <v>887</v>
      </c>
      <c r="R287" s="80" t="s">
        <v>600</v>
      </c>
      <c r="S287" s="80" t="s">
        <v>1062</v>
      </c>
      <c r="T287" s="82" t="str">
        <f>HYPERLINK("http://www.youtube.com/channel/UCLKL6RjR4FG0_kWNw7mJS1A")</f>
        <v>http://www.youtube.com/channel/UCLKL6RjR4FG0_kWNw7mJS1A</v>
      </c>
      <c r="U287" s="80" t="s">
        <v>1187</v>
      </c>
      <c r="V287" s="80" t="s">
        <v>1225</v>
      </c>
      <c r="W287" s="82" t="str">
        <f>HYPERLINK("https://www.youtube.com/watch?v=oVhk6C3hzvk")</f>
        <v>https://www.youtube.com/watch?v=oVhk6C3hzvk</v>
      </c>
      <c r="X287" s="80" t="s">
        <v>213</v>
      </c>
      <c r="Y287" s="80">
        <v>0</v>
      </c>
      <c r="Z287" s="84">
        <v>44003.16025462963</v>
      </c>
      <c r="AA287" s="84">
        <v>44003.16025462963</v>
      </c>
      <c r="AB287" s="80"/>
      <c r="AC287" s="80"/>
      <c r="AD287" s="80"/>
      <c r="AE287" s="80">
        <v>1</v>
      </c>
      <c r="AF287" s="79" t="str">
        <f>REPLACE(INDEX(GroupVertices[Group],MATCH(Edges[[#This Row],[Vertex 1]],GroupVertices[Vertex],0)),1,1,"")</f>
        <v>8</v>
      </c>
      <c r="AG287" s="79" t="str">
        <f>REPLACE(INDEX(GroupVertices[Group],MATCH(Edges[[#This Row],[Vertex 2]],GroupVertices[Vertex],0)),1,1,"")</f>
        <v>8</v>
      </c>
      <c r="AH287" s="34"/>
      <c r="AI287" s="34"/>
      <c r="AJ287" s="34"/>
      <c r="AK287" s="34"/>
      <c r="AL287" s="34"/>
      <c r="AM287" s="34"/>
      <c r="AN287" s="34"/>
      <c r="AO287" s="34"/>
      <c r="AP287" s="34"/>
    </row>
    <row r="288" spans="1:42" ht="15">
      <c r="A288" s="65" t="s">
        <v>601</v>
      </c>
      <c r="B288" s="65" t="s">
        <v>600</v>
      </c>
      <c r="C288" s="66" t="s">
        <v>1853</v>
      </c>
      <c r="D288" s="67">
        <v>2</v>
      </c>
      <c r="E288" s="68"/>
      <c r="F288" s="69">
        <v>32</v>
      </c>
      <c r="G288" s="66"/>
      <c r="H288" s="70"/>
      <c r="I288" s="71"/>
      <c r="J288" s="71"/>
      <c r="K288" s="34" t="s">
        <v>66</v>
      </c>
      <c r="L288" s="78">
        <v>288</v>
      </c>
      <c r="M288" s="78"/>
      <c r="N288" s="73"/>
      <c r="O288" s="80" t="s">
        <v>210</v>
      </c>
      <c r="P288" s="80" t="s">
        <v>196</v>
      </c>
      <c r="Q288" s="80" t="s">
        <v>888</v>
      </c>
      <c r="R288" s="80" t="s">
        <v>601</v>
      </c>
      <c r="S288" s="80" t="s">
        <v>1063</v>
      </c>
      <c r="T288" s="82" t="str">
        <f>HYPERLINK("http://www.youtube.com/channel/UCMhHl1VbqopFrfmyV9nmCWA")</f>
        <v>http://www.youtube.com/channel/UCMhHl1VbqopFrfmyV9nmCWA</v>
      </c>
      <c r="U288" s="80"/>
      <c r="V288" s="80" t="s">
        <v>1225</v>
      </c>
      <c r="W288" s="82" t="str">
        <f>HYPERLINK("https://www.youtube.com/watch?v=oVhk6C3hzvk")</f>
        <v>https://www.youtube.com/watch?v=oVhk6C3hzvk</v>
      </c>
      <c r="X288" s="80" t="s">
        <v>213</v>
      </c>
      <c r="Y288" s="80">
        <v>1</v>
      </c>
      <c r="Z288" s="84">
        <v>44003.0403125</v>
      </c>
      <c r="AA288" s="84">
        <v>44003.0403125</v>
      </c>
      <c r="AB288" s="80"/>
      <c r="AC288" s="80"/>
      <c r="AD288" s="80"/>
      <c r="AE288" s="80">
        <v>1</v>
      </c>
      <c r="AF288" s="79" t="str">
        <f>REPLACE(INDEX(GroupVertices[Group],MATCH(Edges[[#This Row],[Vertex 1]],GroupVertices[Vertex],0)),1,1,"")</f>
        <v>8</v>
      </c>
      <c r="AG288" s="79" t="str">
        <f>REPLACE(INDEX(GroupVertices[Group],MATCH(Edges[[#This Row],[Vertex 2]],GroupVertices[Vertex],0)),1,1,"")</f>
        <v>8</v>
      </c>
      <c r="AH288" s="34"/>
      <c r="AI288" s="34"/>
      <c r="AJ288" s="34"/>
      <c r="AK288" s="34"/>
      <c r="AL288" s="34"/>
      <c r="AM288" s="34"/>
      <c r="AN288" s="34"/>
      <c r="AO288" s="34"/>
      <c r="AP288" s="34"/>
    </row>
    <row r="289" spans="1:42" ht="15">
      <c r="A289" s="65" t="s">
        <v>600</v>
      </c>
      <c r="B289" s="65" t="s">
        <v>602</v>
      </c>
      <c r="C289" s="66" t="s">
        <v>1853</v>
      </c>
      <c r="D289" s="67">
        <v>2</v>
      </c>
      <c r="E289" s="68"/>
      <c r="F289" s="69">
        <v>32</v>
      </c>
      <c r="G289" s="66"/>
      <c r="H289" s="70"/>
      <c r="I289" s="71"/>
      <c r="J289" s="71"/>
      <c r="K289" s="34" t="s">
        <v>66</v>
      </c>
      <c r="L289" s="78">
        <v>289</v>
      </c>
      <c r="M289" s="78"/>
      <c r="N289" s="73"/>
      <c r="O289" s="80" t="s">
        <v>211</v>
      </c>
      <c r="P289" s="80" t="s">
        <v>212</v>
      </c>
      <c r="Q289" s="80" t="s">
        <v>887</v>
      </c>
      <c r="R289" s="80" t="s">
        <v>600</v>
      </c>
      <c r="S289" s="80" t="s">
        <v>1062</v>
      </c>
      <c r="T289" s="82" t="str">
        <f>HYPERLINK("http://www.youtube.com/channel/UCLKL6RjR4FG0_kWNw7mJS1A")</f>
        <v>http://www.youtube.com/channel/UCLKL6RjR4FG0_kWNw7mJS1A</v>
      </c>
      <c r="U289" s="80" t="s">
        <v>1188</v>
      </c>
      <c r="V289" s="80" t="s">
        <v>1225</v>
      </c>
      <c r="W289" s="82" t="str">
        <f>HYPERLINK("https://www.youtube.com/watch?v=oVhk6C3hzvk")</f>
        <v>https://www.youtube.com/watch?v=oVhk6C3hzvk</v>
      </c>
      <c r="X289" s="80" t="s">
        <v>213</v>
      </c>
      <c r="Y289" s="80">
        <v>0</v>
      </c>
      <c r="Z289" s="84">
        <v>44003.160208333335</v>
      </c>
      <c r="AA289" s="84">
        <v>44003.160208333335</v>
      </c>
      <c r="AB289" s="80"/>
      <c r="AC289" s="80"/>
      <c r="AD289" s="80"/>
      <c r="AE289" s="80">
        <v>1</v>
      </c>
      <c r="AF289" s="79" t="str">
        <f>REPLACE(INDEX(GroupVertices[Group],MATCH(Edges[[#This Row],[Vertex 1]],GroupVertices[Vertex],0)),1,1,"")</f>
        <v>8</v>
      </c>
      <c r="AG289" s="79" t="str">
        <f>REPLACE(INDEX(GroupVertices[Group],MATCH(Edges[[#This Row],[Vertex 2]],GroupVertices[Vertex],0)),1,1,"")</f>
        <v>8</v>
      </c>
      <c r="AH289" s="34"/>
      <c r="AI289" s="34"/>
      <c r="AJ289" s="34"/>
      <c r="AK289" s="34"/>
      <c r="AL289" s="34"/>
      <c r="AM289" s="34"/>
      <c r="AN289" s="34"/>
      <c r="AO289" s="34"/>
      <c r="AP289" s="34"/>
    </row>
    <row r="290" spans="1:42" ht="15">
      <c r="A290" s="65" t="s">
        <v>602</v>
      </c>
      <c r="B290" s="65" t="s">
        <v>600</v>
      </c>
      <c r="C290" s="66" t="s">
        <v>1853</v>
      </c>
      <c r="D290" s="67">
        <v>2</v>
      </c>
      <c r="E290" s="68"/>
      <c r="F290" s="69">
        <v>32</v>
      </c>
      <c r="G290" s="66"/>
      <c r="H290" s="70"/>
      <c r="I290" s="71"/>
      <c r="J290" s="71"/>
      <c r="K290" s="34" t="s">
        <v>66</v>
      </c>
      <c r="L290" s="78">
        <v>290</v>
      </c>
      <c r="M290" s="78"/>
      <c r="N290" s="73"/>
      <c r="O290" s="80" t="s">
        <v>210</v>
      </c>
      <c r="P290" s="80" t="s">
        <v>196</v>
      </c>
      <c r="Q290" s="80" t="s">
        <v>889</v>
      </c>
      <c r="R290" s="80" t="s">
        <v>602</v>
      </c>
      <c r="S290" s="80" t="s">
        <v>1064</v>
      </c>
      <c r="T290" s="82" t="str">
        <f>HYPERLINK("http://www.youtube.com/channel/UCUGy2u7dX3z-0TxexjH6Y7Q")</f>
        <v>http://www.youtube.com/channel/UCUGy2u7dX3z-0TxexjH6Y7Q</v>
      </c>
      <c r="U290" s="80"/>
      <c r="V290" s="80" t="s">
        <v>1225</v>
      </c>
      <c r="W290" s="82" t="str">
        <f>HYPERLINK("https://www.youtube.com/watch?v=oVhk6C3hzvk")</f>
        <v>https://www.youtube.com/watch?v=oVhk6C3hzvk</v>
      </c>
      <c r="X290" s="80" t="s">
        <v>213</v>
      </c>
      <c r="Y290" s="80">
        <v>1</v>
      </c>
      <c r="Z290" s="84">
        <v>44003.15828703704</v>
      </c>
      <c r="AA290" s="84">
        <v>44003.15828703704</v>
      </c>
      <c r="AB290" s="80"/>
      <c r="AC290" s="80"/>
      <c r="AD290" s="80"/>
      <c r="AE290" s="80">
        <v>1</v>
      </c>
      <c r="AF290" s="79" t="str">
        <f>REPLACE(INDEX(GroupVertices[Group],MATCH(Edges[[#This Row],[Vertex 1]],GroupVertices[Vertex],0)),1,1,"")</f>
        <v>8</v>
      </c>
      <c r="AG290" s="79" t="str">
        <f>REPLACE(INDEX(GroupVertices[Group],MATCH(Edges[[#This Row],[Vertex 2]],GroupVertices[Vertex],0)),1,1,"")</f>
        <v>8</v>
      </c>
      <c r="AH290" s="34"/>
      <c r="AI290" s="34"/>
      <c r="AJ290" s="34"/>
      <c r="AK290" s="34"/>
      <c r="AL290" s="34"/>
      <c r="AM290" s="34"/>
      <c r="AN290" s="34"/>
      <c r="AO290" s="34"/>
      <c r="AP290" s="34"/>
    </row>
    <row r="291" spans="1:42" ht="15">
      <c r="A291" s="65" t="s">
        <v>461</v>
      </c>
      <c r="B291" s="65" t="s">
        <v>603</v>
      </c>
      <c r="C291" s="66" t="s">
        <v>1853</v>
      </c>
      <c r="D291" s="67">
        <v>2</v>
      </c>
      <c r="E291" s="68"/>
      <c r="F291" s="69">
        <v>32</v>
      </c>
      <c r="G291" s="66"/>
      <c r="H291" s="70"/>
      <c r="I291" s="71"/>
      <c r="J291" s="71"/>
      <c r="K291" s="34" t="s">
        <v>66</v>
      </c>
      <c r="L291" s="78">
        <v>291</v>
      </c>
      <c r="M291" s="78"/>
      <c r="N291" s="73"/>
      <c r="O291" s="80" t="s">
        <v>211</v>
      </c>
      <c r="P291" s="80" t="s">
        <v>212</v>
      </c>
      <c r="Q291" s="80" t="s">
        <v>890</v>
      </c>
      <c r="R291" s="80" t="s">
        <v>461</v>
      </c>
      <c r="S291" s="80" t="s">
        <v>923</v>
      </c>
      <c r="T291" s="82" t="str">
        <f>HYPERLINK("http://www.youtube.com/channel/UCFp1vaKzpfvoGai0vE5VJ0w")</f>
        <v>http://www.youtube.com/channel/UCFp1vaKzpfvoGai0vE5VJ0w</v>
      </c>
      <c r="U291" s="80" t="s">
        <v>1189</v>
      </c>
      <c r="V291" s="80" t="s">
        <v>1226</v>
      </c>
      <c r="W291" s="82" t="str">
        <f>HYPERLINK("https://www.youtube.com/watch?v=f9gYFWp4Zb4")</f>
        <v>https://www.youtube.com/watch?v=f9gYFWp4Zb4</v>
      </c>
      <c r="X291" s="80" t="s">
        <v>213</v>
      </c>
      <c r="Y291" s="80">
        <v>0</v>
      </c>
      <c r="Z291" s="84">
        <v>44002.97300925926</v>
      </c>
      <c r="AA291" s="84">
        <v>44002.97300925926</v>
      </c>
      <c r="AB291" s="80"/>
      <c r="AC291" s="80"/>
      <c r="AD291" s="80"/>
      <c r="AE291" s="80">
        <v>1</v>
      </c>
      <c r="AF291" s="79" t="str">
        <f>REPLACE(INDEX(GroupVertices[Group],MATCH(Edges[[#This Row],[Vertex 1]],GroupVertices[Vertex],0)),1,1,"")</f>
        <v>2</v>
      </c>
      <c r="AG291" s="79" t="str">
        <f>REPLACE(INDEX(GroupVertices[Group],MATCH(Edges[[#This Row],[Vertex 2]],GroupVertices[Vertex],0)),1,1,"")</f>
        <v>2</v>
      </c>
      <c r="AH291" s="34"/>
      <c r="AI291" s="34"/>
      <c r="AJ291" s="34"/>
      <c r="AK291" s="34"/>
      <c r="AL291" s="34"/>
      <c r="AM291" s="34"/>
      <c r="AN291" s="34"/>
      <c r="AO291" s="34"/>
      <c r="AP291" s="34"/>
    </row>
    <row r="292" spans="1:42" ht="15">
      <c r="A292" s="65" t="s">
        <v>603</v>
      </c>
      <c r="B292" s="65" t="s">
        <v>461</v>
      </c>
      <c r="C292" s="66" t="s">
        <v>1853</v>
      </c>
      <c r="D292" s="67">
        <v>2</v>
      </c>
      <c r="E292" s="68"/>
      <c r="F292" s="69">
        <v>32</v>
      </c>
      <c r="G292" s="66"/>
      <c r="H292" s="70"/>
      <c r="I292" s="71"/>
      <c r="J292" s="71"/>
      <c r="K292" s="34" t="s">
        <v>66</v>
      </c>
      <c r="L292" s="78">
        <v>292</v>
      </c>
      <c r="M292" s="78"/>
      <c r="N292" s="73"/>
      <c r="O292" s="80" t="s">
        <v>210</v>
      </c>
      <c r="P292" s="80" t="s">
        <v>196</v>
      </c>
      <c r="Q292" s="80" t="s">
        <v>891</v>
      </c>
      <c r="R292" s="80" t="s">
        <v>603</v>
      </c>
      <c r="S292" s="80" t="s">
        <v>1065</v>
      </c>
      <c r="T292" s="82" t="str">
        <f>HYPERLINK("http://www.youtube.com/channel/UCmTk8A8oJsDRZk15-Zs0rng")</f>
        <v>http://www.youtube.com/channel/UCmTk8A8oJsDRZk15-Zs0rng</v>
      </c>
      <c r="U292" s="80"/>
      <c r="V292" s="80" t="s">
        <v>1226</v>
      </c>
      <c r="W292" s="82" t="str">
        <f>HYPERLINK("https://www.youtube.com/watch?v=f9gYFWp4Zb4")</f>
        <v>https://www.youtube.com/watch?v=f9gYFWp4Zb4</v>
      </c>
      <c r="X292" s="80" t="s">
        <v>213</v>
      </c>
      <c r="Y292" s="80">
        <v>1</v>
      </c>
      <c r="Z292" s="84">
        <v>44002.770266203705</v>
      </c>
      <c r="AA292" s="84">
        <v>44002.770266203705</v>
      </c>
      <c r="AB292" s="80" t="s">
        <v>1246</v>
      </c>
      <c r="AC292" s="80" t="s">
        <v>214</v>
      </c>
      <c r="AD292" s="80"/>
      <c r="AE292" s="80">
        <v>1</v>
      </c>
      <c r="AF292" s="79" t="str">
        <f>REPLACE(INDEX(GroupVertices[Group],MATCH(Edges[[#This Row],[Vertex 1]],GroupVertices[Vertex],0)),1,1,"")</f>
        <v>2</v>
      </c>
      <c r="AG292" s="79" t="str">
        <f>REPLACE(INDEX(GroupVertices[Group],MATCH(Edges[[#This Row],[Vertex 2]],GroupVertices[Vertex],0)),1,1,"")</f>
        <v>2</v>
      </c>
      <c r="AH292" s="34"/>
      <c r="AI292" s="34"/>
      <c r="AJ292" s="34"/>
      <c r="AK292" s="34"/>
      <c r="AL292" s="34"/>
      <c r="AM292" s="34"/>
      <c r="AN292" s="34"/>
      <c r="AO292" s="34"/>
      <c r="AP292" s="34"/>
    </row>
    <row r="293" spans="1:42" ht="15">
      <c r="A293" s="65" t="s">
        <v>461</v>
      </c>
      <c r="B293" s="65" t="s">
        <v>604</v>
      </c>
      <c r="C293" s="66" t="s">
        <v>1853</v>
      </c>
      <c r="D293" s="67">
        <v>2</v>
      </c>
      <c r="E293" s="68"/>
      <c r="F293" s="69">
        <v>32</v>
      </c>
      <c r="G293" s="66"/>
      <c r="H293" s="70"/>
      <c r="I293" s="71"/>
      <c r="J293" s="71"/>
      <c r="K293" s="34" t="s">
        <v>66</v>
      </c>
      <c r="L293" s="78">
        <v>293</v>
      </c>
      <c r="M293" s="78"/>
      <c r="N293" s="73"/>
      <c r="O293" s="80" t="s">
        <v>211</v>
      </c>
      <c r="P293" s="80" t="s">
        <v>212</v>
      </c>
      <c r="Q293" s="80" t="s">
        <v>892</v>
      </c>
      <c r="R293" s="80" t="s">
        <v>461</v>
      </c>
      <c r="S293" s="80" t="s">
        <v>923</v>
      </c>
      <c r="T293" s="82" t="str">
        <f>HYPERLINK("http://www.youtube.com/channel/UCFp1vaKzpfvoGai0vE5VJ0w")</f>
        <v>http://www.youtube.com/channel/UCFp1vaKzpfvoGai0vE5VJ0w</v>
      </c>
      <c r="U293" s="80" t="s">
        <v>1190</v>
      </c>
      <c r="V293" s="80" t="s">
        <v>1226</v>
      </c>
      <c r="W293" s="82" t="str">
        <f>HYPERLINK("https://www.youtube.com/watch?v=f9gYFWp4Zb4")</f>
        <v>https://www.youtube.com/watch?v=f9gYFWp4Zb4</v>
      </c>
      <c r="X293" s="80" t="s">
        <v>213</v>
      </c>
      <c r="Y293" s="80">
        <v>1</v>
      </c>
      <c r="Z293" s="84">
        <v>44003.02143518518</v>
      </c>
      <c r="AA293" s="84">
        <v>44003.02143518518</v>
      </c>
      <c r="AB293" s="80" t="s">
        <v>1247</v>
      </c>
      <c r="AC293" s="80" t="s">
        <v>1259</v>
      </c>
      <c r="AD293" s="80"/>
      <c r="AE293" s="80">
        <v>1</v>
      </c>
      <c r="AF293" s="79" t="str">
        <f>REPLACE(INDEX(GroupVertices[Group],MATCH(Edges[[#This Row],[Vertex 1]],GroupVertices[Vertex],0)),1,1,"")</f>
        <v>2</v>
      </c>
      <c r="AG293" s="79" t="str">
        <f>REPLACE(INDEX(GroupVertices[Group],MATCH(Edges[[#This Row],[Vertex 2]],GroupVertices[Vertex],0)),1,1,"")</f>
        <v>2</v>
      </c>
      <c r="AH293" s="34"/>
      <c r="AI293" s="34"/>
      <c r="AJ293" s="34"/>
      <c r="AK293" s="34"/>
      <c r="AL293" s="34"/>
      <c r="AM293" s="34"/>
      <c r="AN293" s="34"/>
      <c r="AO293" s="34"/>
      <c r="AP293" s="34"/>
    </row>
    <row r="294" spans="1:42" ht="15">
      <c r="A294" s="65" t="s">
        <v>604</v>
      </c>
      <c r="B294" s="65" t="s">
        <v>461</v>
      </c>
      <c r="C294" s="66" t="s">
        <v>1853</v>
      </c>
      <c r="D294" s="67">
        <v>2</v>
      </c>
      <c r="E294" s="68"/>
      <c r="F294" s="69">
        <v>32</v>
      </c>
      <c r="G294" s="66"/>
      <c r="H294" s="70"/>
      <c r="I294" s="71"/>
      <c r="J294" s="71"/>
      <c r="K294" s="34" t="s">
        <v>66</v>
      </c>
      <c r="L294" s="78">
        <v>294</v>
      </c>
      <c r="M294" s="78"/>
      <c r="N294" s="73"/>
      <c r="O294" s="80" t="s">
        <v>210</v>
      </c>
      <c r="P294" s="80" t="s">
        <v>196</v>
      </c>
      <c r="Q294" s="80" t="s">
        <v>893</v>
      </c>
      <c r="R294" s="80" t="s">
        <v>604</v>
      </c>
      <c r="S294" s="80" t="s">
        <v>1066</v>
      </c>
      <c r="T294" s="82" t="str">
        <f>HYPERLINK("http://www.youtube.com/channel/UC6bRQV45_B5wpO2bnDjDyow")</f>
        <v>http://www.youtube.com/channel/UC6bRQV45_B5wpO2bnDjDyow</v>
      </c>
      <c r="U294" s="80"/>
      <c r="V294" s="80" t="s">
        <v>1226</v>
      </c>
      <c r="W294" s="82" t="str">
        <f>HYPERLINK("https://www.youtube.com/watch?v=f9gYFWp4Zb4")</f>
        <v>https://www.youtube.com/watch?v=f9gYFWp4Zb4</v>
      </c>
      <c r="X294" s="80" t="s">
        <v>213</v>
      </c>
      <c r="Y294" s="80">
        <v>0</v>
      </c>
      <c r="Z294" s="84">
        <v>44002.97642361111</v>
      </c>
      <c r="AA294" s="84">
        <v>44002.97642361111</v>
      </c>
      <c r="AB294" s="80"/>
      <c r="AC294" s="80"/>
      <c r="AD294" s="80"/>
      <c r="AE294" s="80">
        <v>1</v>
      </c>
      <c r="AF294" s="79" t="str">
        <f>REPLACE(INDEX(GroupVertices[Group],MATCH(Edges[[#This Row],[Vertex 1]],GroupVertices[Vertex],0)),1,1,"")</f>
        <v>2</v>
      </c>
      <c r="AG294" s="79" t="str">
        <f>REPLACE(INDEX(GroupVertices[Group],MATCH(Edges[[#This Row],[Vertex 2]],GroupVertices[Vertex],0)),1,1,"")</f>
        <v>2</v>
      </c>
      <c r="AH294" s="34"/>
      <c r="AI294" s="34"/>
      <c r="AJ294" s="34"/>
      <c r="AK294" s="34"/>
      <c r="AL294" s="34"/>
      <c r="AM294" s="34"/>
      <c r="AN294" s="34"/>
      <c r="AO294" s="34"/>
      <c r="AP294" s="34"/>
    </row>
    <row r="295" spans="1:42" ht="15">
      <c r="A295" s="65" t="s">
        <v>604</v>
      </c>
      <c r="B295" s="65" t="s">
        <v>604</v>
      </c>
      <c r="C295" s="66" t="s">
        <v>1853</v>
      </c>
      <c r="D295" s="67">
        <v>2</v>
      </c>
      <c r="E295" s="68"/>
      <c r="F295" s="69">
        <v>32</v>
      </c>
      <c r="G295" s="66"/>
      <c r="H295" s="70"/>
      <c r="I295" s="71"/>
      <c r="J295" s="71"/>
      <c r="K295" s="34" t="s">
        <v>65</v>
      </c>
      <c r="L295" s="78">
        <v>295</v>
      </c>
      <c r="M295" s="78"/>
      <c r="N295" s="73"/>
      <c r="O295" s="80" t="s">
        <v>211</v>
      </c>
      <c r="P295" s="80" t="s">
        <v>212</v>
      </c>
      <c r="Q295" s="80" t="s">
        <v>894</v>
      </c>
      <c r="R295" s="80" t="s">
        <v>604</v>
      </c>
      <c r="S295" s="80" t="s">
        <v>1066</v>
      </c>
      <c r="T295" s="82" t="str">
        <f>HYPERLINK("http://www.youtube.com/channel/UC6bRQV45_B5wpO2bnDjDyow")</f>
        <v>http://www.youtube.com/channel/UC6bRQV45_B5wpO2bnDjDyow</v>
      </c>
      <c r="U295" s="80" t="s">
        <v>1190</v>
      </c>
      <c r="V295" s="80" t="s">
        <v>1226</v>
      </c>
      <c r="W295" s="82" t="str">
        <f>HYPERLINK("https://www.youtube.com/watch?v=f9gYFWp4Zb4")</f>
        <v>https://www.youtube.com/watch?v=f9gYFWp4Zb4</v>
      </c>
      <c r="X295" s="80" t="s">
        <v>213</v>
      </c>
      <c r="Y295" s="80">
        <v>0</v>
      </c>
      <c r="Z295" s="84">
        <v>44003.0909837963</v>
      </c>
      <c r="AA295" s="84">
        <v>44003.0909837963</v>
      </c>
      <c r="AB295" s="80"/>
      <c r="AC295" s="80"/>
      <c r="AD295" s="80"/>
      <c r="AE295" s="80">
        <v>1</v>
      </c>
      <c r="AF295" s="79" t="str">
        <f>REPLACE(INDEX(GroupVertices[Group],MATCH(Edges[[#This Row],[Vertex 1]],GroupVertices[Vertex],0)),1,1,"")</f>
        <v>2</v>
      </c>
      <c r="AG295" s="79" t="str">
        <f>REPLACE(INDEX(GroupVertices[Group],MATCH(Edges[[#This Row],[Vertex 2]],GroupVertices[Vertex],0)),1,1,"")</f>
        <v>2</v>
      </c>
      <c r="AH295" s="34"/>
      <c r="AI295" s="34"/>
      <c r="AJ295" s="34"/>
      <c r="AK295" s="34"/>
      <c r="AL295" s="34"/>
      <c r="AM295" s="34"/>
      <c r="AN295" s="34"/>
      <c r="AO295" s="34"/>
      <c r="AP295" s="34"/>
    </row>
    <row r="296" spans="1:42" ht="15">
      <c r="A296" s="65" t="s">
        <v>582</v>
      </c>
      <c r="B296" s="65" t="s">
        <v>577</v>
      </c>
      <c r="C296" s="66" t="s">
        <v>1853</v>
      </c>
      <c r="D296" s="67">
        <v>2</v>
      </c>
      <c r="E296" s="68"/>
      <c r="F296" s="69">
        <v>32</v>
      </c>
      <c r="G296" s="66"/>
      <c r="H296" s="70"/>
      <c r="I296" s="71"/>
      <c r="J296" s="71"/>
      <c r="K296" s="34" t="s">
        <v>66</v>
      </c>
      <c r="L296" s="78">
        <v>296</v>
      </c>
      <c r="M296" s="78"/>
      <c r="N296" s="73"/>
      <c r="O296" s="80" t="s">
        <v>211</v>
      </c>
      <c r="P296" s="80" t="s">
        <v>212</v>
      </c>
      <c r="Q296" s="80" t="s">
        <v>895</v>
      </c>
      <c r="R296" s="80" t="s">
        <v>582</v>
      </c>
      <c r="S296" s="80" t="s">
        <v>1044</v>
      </c>
      <c r="T296" s="82" t="str">
        <f>HYPERLINK("http://www.youtube.com/channel/UCjg2kAW7dd0nmCmHrCSVUng")</f>
        <v>http://www.youtube.com/channel/UCjg2kAW7dd0nmCmHrCSVUng</v>
      </c>
      <c r="U296" s="80" t="s">
        <v>1191</v>
      </c>
      <c r="V296" s="80" t="s">
        <v>1227</v>
      </c>
      <c r="W296" s="82" t="str">
        <f>HYPERLINK("https://www.youtube.com/watch?v=lDH6jvTs96A")</f>
        <v>https://www.youtube.com/watch?v=lDH6jvTs96A</v>
      </c>
      <c r="X296" s="80" t="s">
        <v>213</v>
      </c>
      <c r="Y296" s="80">
        <v>0</v>
      </c>
      <c r="Z296" s="84">
        <v>44003.03236111111</v>
      </c>
      <c r="AA296" s="84">
        <v>44003.03236111111</v>
      </c>
      <c r="AB296" s="80"/>
      <c r="AC296" s="80"/>
      <c r="AD296" s="80"/>
      <c r="AE296" s="80">
        <v>1</v>
      </c>
      <c r="AF296" s="79" t="str">
        <f>REPLACE(INDEX(GroupVertices[Group],MATCH(Edges[[#This Row],[Vertex 1]],GroupVertices[Vertex],0)),1,1,"")</f>
        <v>3</v>
      </c>
      <c r="AG296" s="79" t="str">
        <f>REPLACE(INDEX(GroupVertices[Group],MATCH(Edges[[#This Row],[Vertex 2]],GroupVertices[Vertex],0)),1,1,"")</f>
        <v>3</v>
      </c>
      <c r="AH296" s="34"/>
      <c r="AI296" s="34"/>
      <c r="AJ296" s="34"/>
      <c r="AK296" s="34"/>
      <c r="AL296" s="34"/>
      <c r="AM296" s="34"/>
      <c r="AN296" s="34"/>
      <c r="AO296" s="34"/>
      <c r="AP296" s="34"/>
    </row>
    <row r="297" spans="1:42" ht="15">
      <c r="A297" s="65" t="s">
        <v>577</v>
      </c>
      <c r="B297" s="65" t="s">
        <v>582</v>
      </c>
      <c r="C297" s="66" t="s">
        <v>1853</v>
      </c>
      <c r="D297" s="67">
        <v>2</v>
      </c>
      <c r="E297" s="68"/>
      <c r="F297" s="69">
        <v>32</v>
      </c>
      <c r="G297" s="66"/>
      <c r="H297" s="70"/>
      <c r="I297" s="71"/>
      <c r="J297" s="71"/>
      <c r="K297" s="34" t="s">
        <v>66</v>
      </c>
      <c r="L297" s="78">
        <v>297</v>
      </c>
      <c r="M297" s="78"/>
      <c r="N297" s="73"/>
      <c r="O297" s="80" t="s">
        <v>210</v>
      </c>
      <c r="P297" s="80" t="s">
        <v>196</v>
      </c>
      <c r="Q297" s="80" t="s">
        <v>896</v>
      </c>
      <c r="R297" s="80" t="s">
        <v>577</v>
      </c>
      <c r="S297" s="80" t="s">
        <v>1039</v>
      </c>
      <c r="T297" s="82" t="str">
        <f>HYPERLINK("http://www.youtube.com/channel/UCxmSF_xV8EqQkoPYJL0bQLA")</f>
        <v>http://www.youtube.com/channel/UCxmSF_xV8EqQkoPYJL0bQLA</v>
      </c>
      <c r="U297" s="80"/>
      <c r="V297" s="80" t="s">
        <v>1227</v>
      </c>
      <c r="W297" s="82" t="str">
        <f>HYPERLINK("https://www.youtube.com/watch?v=lDH6jvTs96A")</f>
        <v>https://www.youtube.com/watch?v=lDH6jvTs96A</v>
      </c>
      <c r="X297" s="80" t="s">
        <v>213</v>
      </c>
      <c r="Y297" s="80">
        <v>0</v>
      </c>
      <c r="Z297" s="84">
        <v>44002.948275462964</v>
      </c>
      <c r="AA297" s="84">
        <v>44002.948275462964</v>
      </c>
      <c r="AB297" s="80"/>
      <c r="AC297" s="80"/>
      <c r="AD297" s="80"/>
      <c r="AE297" s="80">
        <v>1</v>
      </c>
      <c r="AF297" s="79" t="str">
        <f>REPLACE(INDEX(GroupVertices[Group],MATCH(Edges[[#This Row],[Vertex 1]],GroupVertices[Vertex],0)),1,1,"")</f>
        <v>3</v>
      </c>
      <c r="AG297" s="79" t="str">
        <f>REPLACE(INDEX(GroupVertices[Group],MATCH(Edges[[#This Row],[Vertex 2]],GroupVertices[Vertex],0)),1,1,"")</f>
        <v>3</v>
      </c>
      <c r="AH297" s="34"/>
      <c r="AI297" s="34"/>
      <c r="AJ297" s="34"/>
      <c r="AK297" s="34"/>
      <c r="AL297" s="34"/>
      <c r="AM297" s="34"/>
      <c r="AN297" s="34"/>
      <c r="AO297" s="34"/>
      <c r="AP297" s="34"/>
    </row>
    <row r="298" spans="1:42" ht="15">
      <c r="A298" s="65" t="s">
        <v>577</v>
      </c>
      <c r="B298" s="65" t="s">
        <v>577</v>
      </c>
      <c r="C298" s="66" t="s">
        <v>1833</v>
      </c>
      <c r="D298" s="67">
        <v>2</v>
      </c>
      <c r="E298" s="68"/>
      <c r="F298" s="69">
        <v>32</v>
      </c>
      <c r="G298" s="66"/>
      <c r="H298" s="70"/>
      <c r="I298" s="71"/>
      <c r="J298" s="71"/>
      <c r="K298" s="34" t="s">
        <v>65</v>
      </c>
      <c r="L298" s="78">
        <v>298</v>
      </c>
      <c r="M298" s="78"/>
      <c r="N298" s="73"/>
      <c r="O298" s="80" t="s">
        <v>211</v>
      </c>
      <c r="P298" s="80" t="s">
        <v>212</v>
      </c>
      <c r="Q298" s="80" t="s">
        <v>897</v>
      </c>
      <c r="R298" s="80" t="s">
        <v>577</v>
      </c>
      <c r="S298" s="80" t="s">
        <v>1039</v>
      </c>
      <c r="T298" s="82" t="str">
        <f>HYPERLINK("http://www.youtube.com/channel/UCxmSF_xV8EqQkoPYJL0bQLA")</f>
        <v>http://www.youtube.com/channel/UCxmSF_xV8EqQkoPYJL0bQLA</v>
      </c>
      <c r="U298" s="80" t="s">
        <v>1162</v>
      </c>
      <c r="V298" s="80" t="s">
        <v>1217</v>
      </c>
      <c r="W298" s="82" t="str">
        <f>HYPERLINK("https://www.youtube.com/watch?v=DBPmRIZMIFY")</f>
        <v>https://www.youtube.com/watch?v=DBPmRIZMIFY</v>
      </c>
      <c r="X298" s="80" t="s">
        <v>213</v>
      </c>
      <c r="Y298" s="80">
        <v>0</v>
      </c>
      <c r="Z298" s="84">
        <v>44002.93399305556</v>
      </c>
      <c r="AA298" s="84">
        <v>44002.93399305556</v>
      </c>
      <c r="AB298" s="80"/>
      <c r="AC298" s="80"/>
      <c r="AD298" s="80"/>
      <c r="AE298" s="80">
        <v>3</v>
      </c>
      <c r="AF298" s="79" t="str">
        <f>REPLACE(INDEX(GroupVertices[Group],MATCH(Edges[[#This Row],[Vertex 1]],GroupVertices[Vertex],0)),1,1,"")</f>
        <v>3</v>
      </c>
      <c r="AG298" s="79" t="str">
        <f>REPLACE(INDEX(GroupVertices[Group],MATCH(Edges[[#This Row],[Vertex 2]],GroupVertices[Vertex],0)),1,1,"")</f>
        <v>3</v>
      </c>
      <c r="AH298" s="34"/>
      <c r="AI298" s="34"/>
      <c r="AJ298" s="34"/>
      <c r="AK298" s="34"/>
      <c r="AL298" s="34"/>
      <c r="AM298" s="34"/>
      <c r="AN298" s="34"/>
      <c r="AO298" s="34"/>
      <c r="AP298" s="34"/>
    </row>
    <row r="299" spans="1:42" ht="15">
      <c r="A299" s="65" t="s">
        <v>577</v>
      </c>
      <c r="B299" s="65" t="s">
        <v>577</v>
      </c>
      <c r="C299" s="66" t="s">
        <v>1833</v>
      </c>
      <c r="D299" s="67">
        <v>2</v>
      </c>
      <c r="E299" s="68"/>
      <c r="F299" s="69">
        <v>32</v>
      </c>
      <c r="G299" s="66"/>
      <c r="H299" s="70"/>
      <c r="I299" s="71"/>
      <c r="J299" s="71"/>
      <c r="K299" s="34" t="s">
        <v>65</v>
      </c>
      <c r="L299" s="78">
        <v>299</v>
      </c>
      <c r="M299" s="78"/>
      <c r="N299" s="73"/>
      <c r="O299" s="80" t="s">
        <v>211</v>
      </c>
      <c r="P299" s="80" t="s">
        <v>212</v>
      </c>
      <c r="Q299" s="80" t="s">
        <v>898</v>
      </c>
      <c r="R299" s="80" t="s">
        <v>577</v>
      </c>
      <c r="S299" s="80" t="s">
        <v>1039</v>
      </c>
      <c r="T299" s="82" t="str">
        <f>HYPERLINK("http://www.youtube.com/channel/UCxmSF_xV8EqQkoPYJL0bQLA")</f>
        <v>http://www.youtube.com/channel/UCxmSF_xV8EqQkoPYJL0bQLA</v>
      </c>
      <c r="U299" s="80" t="s">
        <v>1162</v>
      </c>
      <c r="V299" s="80" t="s">
        <v>1217</v>
      </c>
      <c r="W299" s="82" t="str">
        <f>HYPERLINK("https://www.youtube.com/watch?v=DBPmRIZMIFY")</f>
        <v>https://www.youtube.com/watch?v=DBPmRIZMIFY</v>
      </c>
      <c r="X299" s="80" t="s">
        <v>213</v>
      </c>
      <c r="Y299" s="80">
        <v>0</v>
      </c>
      <c r="Z299" s="84">
        <v>44003.23337962963</v>
      </c>
      <c r="AA299" s="84">
        <v>44003.23337962963</v>
      </c>
      <c r="AB299" s="80"/>
      <c r="AC299" s="80"/>
      <c r="AD299" s="80"/>
      <c r="AE299" s="80">
        <v>3</v>
      </c>
      <c r="AF299" s="79" t="str">
        <f>REPLACE(INDEX(GroupVertices[Group],MATCH(Edges[[#This Row],[Vertex 1]],GroupVertices[Vertex],0)),1,1,"")</f>
        <v>3</v>
      </c>
      <c r="AG299" s="79" t="str">
        <f>REPLACE(INDEX(GroupVertices[Group],MATCH(Edges[[#This Row],[Vertex 2]],GroupVertices[Vertex],0)),1,1,"")</f>
        <v>3</v>
      </c>
      <c r="AH299" s="34"/>
      <c r="AI299" s="34"/>
      <c r="AJ299" s="34"/>
      <c r="AK299" s="34"/>
      <c r="AL299" s="34"/>
      <c r="AM299" s="34"/>
      <c r="AN299" s="34"/>
      <c r="AO299" s="34"/>
      <c r="AP299" s="34"/>
    </row>
    <row r="300" spans="1:42" ht="15">
      <c r="A300" s="65" t="s">
        <v>577</v>
      </c>
      <c r="B300" s="65" t="s">
        <v>577</v>
      </c>
      <c r="C300" s="66" t="s">
        <v>1833</v>
      </c>
      <c r="D300" s="67">
        <v>2</v>
      </c>
      <c r="E300" s="68"/>
      <c r="F300" s="69">
        <v>32</v>
      </c>
      <c r="G300" s="66"/>
      <c r="H300" s="70"/>
      <c r="I300" s="71"/>
      <c r="J300" s="71"/>
      <c r="K300" s="34" t="s">
        <v>65</v>
      </c>
      <c r="L300" s="78">
        <v>300</v>
      </c>
      <c r="M300" s="78"/>
      <c r="N300" s="73"/>
      <c r="O300" s="80" t="s">
        <v>211</v>
      </c>
      <c r="P300" s="80" t="s">
        <v>212</v>
      </c>
      <c r="Q300" s="80" t="s">
        <v>899</v>
      </c>
      <c r="R300" s="80" t="s">
        <v>577</v>
      </c>
      <c r="S300" s="80" t="s">
        <v>1039</v>
      </c>
      <c r="T300" s="82" t="str">
        <f>HYPERLINK("http://www.youtube.com/channel/UCxmSF_xV8EqQkoPYJL0bQLA")</f>
        <v>http://www.youtube.com/channel/UCxmSF_xV8EqQkoPYJL0bQLA</v>
      </c>
      <c r="U300" s="80" t="s">
        <v>1170</v>
      </c>
      <c r="V300" s="80" t="s">
        <v>1221</v>
      </c>
      <c r="W300" s="82" t="str">
        <f>HYPERLINK("https://www.youtube.com/watch?v=H84UJn1CiWo")</f>
        <v>https://www.youtube.com/watch?v=H84UJn1CiWo</v>
      </c>
      <c r="X300" s="80" t="s">
        <v>213</v>
      </c>
      <c r="Y300" s="80">
        <v>0</v>
      </c>
      <c r="Z300" s="84">
        <v>44001.92689814815</v>
      </c>
      <c r="AA300" s="84">
        <v>44001.92689814815</v>
      </c>
      <c r="AB300" s="80"/>
      <c r="AC300" s="80"/>
      <c r="AD300" s="80"/>
      <c r="AE300" s="80">
        <v>3</v>
      </c>
      <c r="AF300" s="79" t="str">
        <f>REPLACE(INDEX(GroupVertices[Group],MATCH(Edges[[#This Row],[Vertex 1]],GroupVertices[Vertex],0)),1,1,"")</f>
        <v>3</v>
      </c>
      <c r="AG300" s="79" t="str">
        <f>REPLACE(INDEX(GroupVertices[Group],MATCH(Edges[[#This Row],[Vertex 2]],GroupVertices[Vertex],0)),1,1,"")</f>
        <v>3</v>
      </c>
      <c r="AH300" s="34"/>
      <c r="AI300" s="34"/>
      <c r="AJ300" s="34"/>
      <c r="AK300" s="34"/>
      <c r="AL300" s="34"/>
      <c r="AM300" s="34"/>
      <c r="AN300" s="34"/>
      <c r="AO300" s="34"/>
      <c r="AP300" s="34"/>
    </row>
    <row r="301" spans="1:42" ht="15">
      <c r="A301" s="65" t="s">
        <v>605</v>
      </c>
      <c r="B301" s="65" t="s">
        <v>606</v>
      </c>
      <c r="C301" s="66" t="s">
        <v>1853</v>
      </c>
      <c r="D301" s="67">
        <v>2</v>
      </c>
      <c r="E301" s="68"/>
      <c r="F301" s="69">
        <v>32</v>
      </c>
      <c r="G301" s="66"/>
      <c r="H301" s="70"/>
      <c r="I301" s="71"/>
      <c r="J301" s="71"/>
      <c r="K301" s="34" t="s">
        <v>66</v>
      </c>
      <c r="L301" s="78">
        <v>301</v>
      </c>
      <c r="M301" s="78"/>
      <c r="N301" s="73"/>
      <c r="O301" s="80" t="s">
        <v>211</v>
      </c>
      <c r="P301" s="80" t="s">
        <v>212</v>
      </c>
      <c r="Q301" s="80" t="s">
        <v>900</v>
      </c>
      <c r="R301" s="80" t="s">
        <v>605</v>
      </c>
      <c r="S301" s="80" t="s">
        <v>1067</v>
      </c>
      <c r="T301" s="82" t="str">
        <f>HYPERLINK("http://www.youtube.com/channel/UCOZRKgwJMnfnipCEy9CxCjg")</f>
        <v>http://www.youtube.com/channel/UCOZRKgwJMnfnipCEy9CxCjg</v>
      </c>
      <c r="U301" s="80" t="s">
        <v>1192</v>
      </c>
      <c r="V301" s="80" t="s">
        <v>1228</v>
      </c>
      <c r="W301" s="82" t="str">
        <f>HYPERLINK("https://www.youtube.com/watch?v=eUiSVGoMnPA")</f>
        <v>https://www.youtube.com/watch?v=eUiSVGoMnPA</v>
      </c>
      <c r="X301" s="80" t="s">
        <v>213</v>
      </c>
      <c r="Y301" s="80">
        <v>0</v>
      </c>
      <c r="Z301" s="84">
        <v>44002.86052083333</v>
      </c>
      <c r="AA301" s="84">
        <v>44002.86052083333</v>
      </c>
      <c r="AB301" s="80"/>
      <c r="AC301" s="80"/>
      <c r="AD301" s="80"/>
      <c r="AE301" s="80">
        <v>1</v>
      </c>
      <c r="AF301" s="79" t="str">
        <f>REPLACE(INDEX(GroupVertices[Group],MATCH(Edges[[#This Row],[Vertex 1]],GroupVertices[Vertex],0)),1,1,"")</f>
        <v>24</v>
      </c>
      <c r="AG301" s="79" t="str">
        <f>REPLACE(INDEX(GroupVertices[Group],MATCH(Edges[[#This Row],[Vertex 2]],GroupVertices[Vertex],0)),1,1,"")</f>
        <v>24</v>
      </c>
      <c r="AH301" s="34"/>
      <c r="AI301" s="34"/>
      <c r="AJ301" s="34"/>
      <c r="AK301" s="34"/>
      <c r="AL301" s="34"/>
      <c r="AM301" s="34"/>
      <c r="AN301" s="34"/>
      <c r="AO301" s="34"/>
      <c r="AP301" s="34"/>
    </row>
    <row r="302" spans="1:42" ht="15">
      <c r="A302" s="65" t="s">
        <v>606</v>
      </c>
      <c r="B302" s="65" t="s">
        <v>605</v>
      </c>
      <c r="C302" s="66" t="s">
        <v>1853</v>
      </c>
      <c r="D302" s="67">
        <v>2</v>
      </c>
      <c r="E302" s="68"/>
      <c r="F302" s="69">
        <v>32</v>
      </c>
      <c r="G302" s="66"/>
      <c r="H302" s="70"/>
      <c r="I302" s="71"/>
      <c r="J302" s="71"/>
      <c r="K302" s="34" t="s">
        <v>66</v>
      </c>
      <c r="L302" s="78">
        <v>302</v>
      </c>
      <c r="M302" s="78"/>
      <c r="N302" s="73"/>
      <c r="O302" s="80" t="s">
        <v>210</v>
      </c>
      <c r="P302" s="80" t="s">
        <v>196</v>
      </c>
      <c r="Q302" s="80" t="s">
        <v>901</v>
      </c>
      <c r="R302" s="80" t="s">
        <v>606</v>
      </c>
      <c r="S302" s="80" t="s">
        <v>1068</v>
      </c>
      <c r="T302" s="82" t="str">
        <f>HYPERLINK("http://www.youtube.com/channel/UCefzkIWdkuRt3d5LpN315rw")</f>
        <v>http://www.youtube.com/channel/UCefzkIWdkuRt3d5LpN315rw</v>
      </c>
      <c r="U302" s="80"/>
      <c r="V302" s="80" t="s">
        <v>1228</v>
      </c>
      <c r="W302" s="82" t="str">
        <f>HYPERLINK("https://www.youtube.com/watch?v=eUiSVGoMnPA")</f>
        <v>https://www.youtube.com/watch?v=eUiSVGoMnPA</v>
      </c>
      <c r="X302" s="80" t="s">
        <v>213</v>
      </c>
      <c r="Y302" s="80">
        <v>1</v>
      </c>
      <c r="Z302" s="84">
        <v>44002.844247685185</v>
      </c>
      <c r="AA302" s="84">
        <v>44002.844247685185</v>
      </c>
      <c r="AB302" s="80"/>
      <c r="AC302" s="80"/>
      <c r="AD302" s="80"/>
      <c r="AE302" s="80">
        <v>1</v>
      </c>
      <c r="AF302" s="79" t="str">
        <f>REPLACE(INDEX(GroupVertices[Group],MATCH(Edges[[#This Row],[Vertex 1]],GroupVertices[Vertex],0)),1,1,"")</f>
        <v>24</v>
      </c>
      <c r="AG302" s="79" t="str">
        <f>REPLACE(INDEX(GroupVertices[Group],MATCH(Edges[[#This Row],[Vertex 2]],GroupVertices[Vertex],0)),1,1,"")</f>
        <v>24</v>
      </c>
      <c r="AH302" s="34"/>
      <c r="AI302" s="34"/>
      <c r="AJ302" s="34"/>
      <c r="AK302" s="34"/>
      <c r="AL302" s="34"/>
      <c r="AM302" s="34"/>
      <c r="AN302" s="34"/>
      <c r="AO302" s="34"/>
      <c r="AP302" s="34"/>
    </row>
    <row r="303" spans="1:42" ht="15">
      <c r="A303" s="65" t="s">
        <v>607</v>
      </c>
      <c r="B303" s="65" t="s">
        <v>608</v>
      </c>
      <c r="C303" s="66" t="s">
        <v>1853</v>
      </c>
      <c r="D303" s="67">
        <v>2</v>
      </c>
      <c r="E303" s="68"/>
      <c r="F303" s="69">
        <v>32</v>
      </c>
      <c r="G303" s="66"/>
      <c r="H303" s="70"/>
      <c r="I303" s="71"/>
      <c r="J303" s="71"/>
      <c r="K303" s="34" t="s">
        <v>66</v>
      </c>
      <c r="L303" s="78">
        <v>303</v>
      </c>
      <c r="M303" s="78"/>
      <c r="N303" s="73"/>
      <c r="O303" s="80" t="s">
        <v>211</v>
      </c>
      <c r="P303" s="80" t="s">
        <v>212</v>
      </c>
      <c r="Q303" s="80" t="s">
        <v>902</v>
      </c>
      <c r="R303" s="80" t="s">
        <v>607</v>
      </c>
      <c r="S303" s="80" t="s">
        <v>1069</v>
      </c>
      <c r="T303" s="82" t="str">
        <f>HYPERLINK("http://www.youtube.com/channel/UC_aZP9TYHfca8CcFbfUA0IA")</f>
        <v>http://www.youtube.com/channel/UC_aZP9TYHfca8CcFbfUA0IA</v>
      </c>
      <c r="U303" s="80" t="s">
        <v>1193</v>
      </c>
      <c r="V303" s="80" t="s">
        <v>1229</v>
      </c>
      <c r="W303" s="82" t="str">
        <f>HYPERLINK("https://www.youtube.com/watch?v=cDs0Ua7zmSM")</f>
        <v>https://www.youtube.com/watch?v=cDs0Ua7zmSM</v>
      </c>
      <c r="X303" s="80" t="s">
        <v>213</v>
      </c>
      <c r="Y303" s="80">
        <v>0</v>
      </c>
      <c r="Z303" s="84">
        <v>44003.311203703706</v>
      </c>
      <c r="AA303" s="84">
        <v>44003.311203703706</v>
      </c>
      <c r="AB303" s="80"/>
      <c r="AC303" s="80"/>
      <c r="AD303" s="80"/>
      <c r="AE303" s="80">
        <v>1</v>
      </c>
      <c r="AF303" s="79" t="str">
        <f>REPLACE(INDEX(GroupVertices[Group],MATCH(Edges[[#This Row],[Vertex 1]],GroupVertices[Vertex],0)),1,1,"")</f>
        <v>14</v>
      </c>
      <c r="AG303" s="79" t="str">
        <f>REPLACE(INDEX(GroupVertices[Group],MATCH(Edges[[#This Row],[Vertex 2]],GroupVertices[Vertex],0)),1,1,"")</f>
        <v>14</v>
      </c>
      <c r="AH303" s="34"/>
      <c r="AI303" s="34"/>
      <c r="AJ303" s="34"/>
      <c r="AK303" s="34"/>
      <c r="AL303" s="34"/>
      <c r="AM303" s="34"/>
      <c r="AN303" s="34"/>
      <c r="AO303" s="34"/>
      <c r="AP303" s="34"/>
    </row>
    <row r="304" spans="1:42" ht="15">
      <c r="A304" s="65" t="s">
        <v>608</v>
      </c>
      <c r="B304" s="65" t="s">
        <v>607</v>
      </c>
      <c r="C304" s="66" t="s">
        <v>1853</v>
      </c>
      <c r="D304" s="67">
        <v>2</v>
      </c>
      <c r="E304" s="68"/>
      <c r="F304" s="69">
        <v>32</v>
      </c>
      <c r="G304" s="66"/>
      <c r="H304" s="70"/>
      <c r="I304" s="71"/>
      <c r="J304" s="71"/>
      <c r="K304" s="34" t="s">
        <v>66</v>
      </c>
      <c r="L304" s="78">
        <v>304</v>
      </c>
      <c r="M304" s="78"/>
      <c r="N304" s="73"/>
      <c r="O304" s="80" t="s">
        <v>210</v>
      </c>
      <c r="P304" s="80" t="s">
        <v>196</v>
      </c>
      <c r="Q304" s="80" t="s">
        <v>903</v>
      </c>
      <c r="R304" s="80" t="s">
        <v>608</v>
      </c>
      <c r="S304" s="80" t="s">
        <v>1070</v>
      </c>
      <c r="T304" s="82" t="str">
        <f>HYPERLINK("http://www.youtube.com/channel/UC70Td9kbF118tADiFc4j9JQ")</f>
        <v>http://www.youtube.com/channel/UC70Td9kbF118tADiFc4j9JQ</v>
      </c>
      <c r="U304" s="80"/>
      <c r="V304" s="80" t="s">
        <v>1229</v>
      </c>
      <c r="W304" s="82" t="str">
        <f>HYPERLINK("https://www.youtube.com/watch?v=cDs0Ua7zmSM")</f>
        <v>https://www.youtube.com/watch?v=cDs0Ua7zmSM</v>
      </c>
      <c r="X304" s="80" t="s">
        <v>213</v>
      </c>
      <c r="Y304" s="80">
        <v>1</v>
      </c>
      <c r="Z304" s="84">
        <v>44003.31040509259</v>
      </c>
      <c r="AA304" s="84">
        <v>44003.31040509259</v>
      </c>
      <c r="AB304" s="80"/>
      <c r="AC304" s="80"/>
      <c r="AD304" s="80"/>
      <c r="AE304" s="80">
        <v>1</v>
      </c>
      <c r="AF304" s="79" t="str">
        <f>REPLACE(INDEX(GroupVertices[Group],MATCH(Edges[[#This Row],[Vertex 1]],GroupVertices[Vertex],0)),1,1,"")</f>
        <v>14</v>
      </c>
      <c r="AG304" s="79" t="str">
        <f>REPLACE(INDEX(GroupVertices[Group],MATCH(Edges[[#This Row],[Vertex 2]],GroupVertices[Vertex],0)),1,1,"")</f>
        <v>14</v>
      </c>
      <c r="AH304" s="34"/>
      <c r="AI304" s="34"/>
      <c r="AJ304" s="34"/>
      <c r="AK304" s="34"/>
      <c r="AL304" s="34"/>
      <c r="AM304" s="34"/>
      <c r="AN304" s="34"/>
      <c r="AO304" s="34"/>
      <c r="AP304" s="34"/>
    </row>
    <row r="305" spans="1:42" ht="15">
      <c r="A305" s="65" t="s">
        <v>607</v>
      </c>
      <c r="B305" s="65" t="s">
        <v>609</v>
      </c>
      <c r="C305" s="66" t="s">
        <v>1853</v>
      </c>
      <c r="D305" s="67">
        <v>2</v>
      </c>
      <c r="E305" s="68"/>
      <c r="F305" s="69">
        <v>32</v>
      </c>
      <c r="G305" s="66"/>
      <c r="H305" s="70"/>
      <c r="I305" s="71"/>
      <c r="J305" s="71"/>
      <c r="K305" s="34" t="s">
        <v>66</v>
      </c>
      <c r="L305" s="78">
        <v>305</v>
      </c>
      <c r="M305" s="78"/>
      <c r="N305" s="73"/>
      <c r="O305" s="80" t="s">
        <v>211</v>
      </c>
      <c r="P305" s="80" t="s">
        <v>212</v>
      </c>
      <c r="Q305" s="80" t="s">
        <v>904</v>
      </c>
      <c r="R305" s="80" t="s">
        <v>607</v>
      </c>
      <c r="S305" s="80" t="s">
        <v>1069</v>
      </c>
      <c r="T305" s="82" t="str">
        <f>HYPERLINK("http://www.youtube.com/channel/UC_aZP9TYHfca8CcFbfUA0IA")</f>
        <v>http://www.youtube.com/channel/UC_aZP9TYHfca8CcFbfUA0IA</v>
      </c>
      <c r="U305" s="80" t="s">
        <v>1194</v>
      </c>
      <c r="V305" s="80" t="s">
        <v>1229</v>
      </c>
      <c r="W305" s="82" t="str">
        <f>HYPERLINK("https://www.youtube.com/watch?v=cDs0Ua7zmSM")</f>
        <v>https://www.youtube.com/watch?v=cDs0Ua7zmSM</v>
      </c>
      <c r="X305" s="80" t="s">
        <v>213</v>
      </c>
      <c r="Y305" s="80">
        <v>0</v>
      </c>
      <c r="Z305" s="84">
        <v>44003.37873842593</v>
      </c>
      <c r="AA305" s="84">
        <v>44003.37873842593</v>
      </c>
      <c r="AB305" s="80"/>
      <c r="AC305" s="80"/>
      <c r="AD305" s="80"/>
      <c r="AE305" s="80">
        <v>1</v>
      </c>
      <c r="AF305" s="79" t="str">
        <f>REPLACE(INDEX(GroupVertices[Group],MATCH(Edges[[#This Row],[Vertex 1]],GroupVertices[Vertex],0)),1,1,"")</f>
        <v>14</v>
      </c>
      <c r="AG305" s="79" t="str">
        <f>REPLACE(INDEX(GroupVertices[Group],MATCH(Edges[[#This Row],[Vertex 2]],GroupVertices[Vertex],0)),1,1,"")</f>
        <v>14</v>
      </c>
      <c r="AH305" s="34"/>
      <c r="AI305" s="34"/>
      <c r="AJ305" s="34"/>
      <c r="AK305" s="34"/>
      <c r="AL305" s="34"/>
      <c r="AM305" s="34"/>
      <c r="AN305" s="34"/>
      <c r="AO305" s="34"/>
      <c r="AP305" s="34"/>
    </row>
    <row r="306" spans="1:42" ht="15">
      <c r="A306" s="65" t="s">
        <v>609</v>
      </c>
      <c r="B306" s="65" t="s">
        <v>607</v>
      </c>
      <c r="C306" s="66" t="s">
        <v>1853</v>
      </c>
      <c r="D306" s="67">
        <v>2</v>
      </c>
      <c r="E306" s="68"/>
      <c r="F306" s="69">
        <v>32</v>
      </c>
      <c r="G306" s="66"/>
      <c r="H306" s="70"/>
      <c r="I306" s="71"/>
      <c r="J306" s="71"/>
      <c r="K306" s="34" t="s">
        <v>66</v>
      </c>
      <c r="L306" s="78">
        <v>306</v>
      </c>
      <c r="M306" s="78"/>
      <c r="N306" s="73"/>
      <c r="O306" s="80" t="s">
        <v>210</v>
      </c>
      <c r="P306" s="80" t="s">
        <v>196</v>
      </c>
      <c r="Q306" s="80" t="s">
        <v>905</v>
      </c>
      <c r="R306" s="80" t="s">
        <v>609</v>
      </c>
      <c r="S306" s="80" t="s">
        <v>1071</v>
      </c>
      <c r="T306" s="82" t="str">
        <f>HYPERLINK("http://www.youtube.com/channel/UCgUsJ_7Jude6q6_9B_0P4kA")</f>
        <v>http://www.youtube.com/channel/UCgUsJ_7Jude6q6_9B_0P4kA</v>
      </c>
      <c r="U306" s="80"/>
      <c r="V306" s="80" t="s">
        <v>1229</v>
      </c>
      <c r="W306" s="82" t="str">
        <f>HYPERLINK("https://www.youtube.com/watch?v=cDs0Ua7zmSM")</f>
        <v>https://www.youtube.com/watch?v=cDs0Ua7zmSM</v>
      </c>
      <c r="X306" s="80" t="s">
        <v>213</v>
      </c>
      <c r="Y306" s="80">
        <v>1</v>
      </c>
      <c r="Z306" s="84">
        <v>44003.365648148145</v>
      </c>
      <c r="AA306" s="84">
        <v>44003.365648148145</v>
      </c>
      <c r="AB306" s="80"/>
      <c r="AC306" s="80"/>
      <c r="AD306" s="80"/>
      <c r="AE306" s="80">
        <v>1</v>
      </c>
      <c r="AF306" s="79" t="str">
        <f>REPLACE(INDEX(GroupVertices[Group],MATCH(Edges[[#This Row],[Vertex 1]],GroupVertices[Vertex],0)),1,1,"")</f>
        <v>14</v>
      </c>
      <c r="AG306" s="79" t="str">
        <f>REPLACE(INDEX(GroupVertices[Group],MATCH(Edges[[#This Row],[Vertex 2]],GroupVertices[Vertex],0)),1,1,"")</f>
        <v>14</v>
      </c>
      <c r="AH306" s="34"/>
      <c r="AI306" s="34"/>
      <c r="AJ306" s="34"/>
      <c r="AK306" s="34"/>
      <c r="AL306" s="34"/>
      <c r="AM306" s="34"/>
      <c r="AN306" s="34"/>
      <c r="AO306" s="34"/>
      <c r="AP306" s="34"/>
    </row>
    <row r="307" spans="1:42" ht="15">
      <c r="A307" s="65" t="s">
        <v>607</v>
      </c>
      <c r="B307" s="65" t="s">
        <v>610</v>
      </c>
      <c r="C307" s="66" t="s">
        <v>1853</v>
      </c>
      <c r="D307" s="67">
        <v>2</v>
      </c>
      <c r="E307" s="68"/>
      <c r="F307" s="69">
        <v>32</v>
      </c>
      <c r="G307" s="66"/>
      <c r="H307" s="70"/>
      <c r="I307" s="71"/>
      <c r="J307" s="71"/>
      <c r="K307" s="34" t="s">
        <v>66</v>
      </c>
      <c r="L307" s="78">
        <v>307</v>
      </c>
      <c r="M307" s="78"/>
      <c r="N307" s="73"/>
      <c r="O307" s="80" t="s">
        <v>211</v>
      </c>
      <c r="P307" s="80" t="s">
        <v>212</v>
      </c>
      <c r="Q307" s="80" t="s">
        <v>906</v>
      </c>
      <c r="R307" s="80" t="s">
        <v>607</v>
      </c>
      <c r="S307" s="80" t="s">
        <v>1069</v>
      </c>
      <c r="T307" s="82" t="str">
        <f>HYPERLINK("http://www.youtube.com/channel/UC_aZP9TYHfca8CcFbfUA0IA")</f>
        <v>http://www.youtube.com/channel/UC_aZP9TYHfca8CcFbfUA0IA</v>
      </c>
      <c r="U307" s="80" t="s">
        <v>1195</v>
      </c>
      <c r="V307" s="80" t="s">
        <v>1229</v>
      </c>
      <c r="W307" s="82" t="str">
        <f>HYPERLINK("https://www.youtube.com/watch?v=cDs0Ua7zmSM")</f>
        <v>https://www.youtube.com/watch?v=cDs0Ua7zmSM</v>
      </c>
      <c r="X307" s="80" t="s">
        <v>213</v>
      </c>
      <c r="Y307" s="80">
        <v>0</v>
      </c>
      <c r="Z307" s="84">
        <v>44003.46016203704</v>
      </c>
      <c r="AA307" s="84">
        <v>44003.46016203704</v>
      </c>
      <c r="AB307" s="80"/>
      <c r="AC307" s="80"/>
      <c r="AD307" s="80"/>
      <c r="AE307" s="80">
        <v>1</v>
      </c>
      <c r="AF307" s="79" t="str">
        <f>REPLACE(INDEX(GroupVertices[Group],MATCH(Edges[[#This Row],[Vertex 1]],GroupVertices[Vertex],0)),1,1,"")</f>
        <v>14</v>
      </c>
      <c r="AG307" s="79" t="str">
        <f>REPLACE(INDEX(GroupVertices[Group],MATCH(Edges[[#This Row],[Vertex 2]],GroupVertices[Vertex],0)),1,1,"")</f>
        <v>14</v>
      </c>
      <c r="AH307" s="34"/>
      <c r="AI307" s="34"/>
      <c r="AJ307" s="34"/>
      <c r="AK307" s="34"/>
      <c r="AL307" s="34"/>
      <c r="AM307" s="34"/>
      <c r="AN307" s="34"/>
      <c r="AO307" s="34"/>
      <c r="AP307" s="34"/>
    </row>
    <row r="308" spans="1:42" ht="15">
      <c r="A308" s="65" t="s">
        <v>610</v>
      </c>
      <c r="B308" s="65" t="s">
        <v>607</v>
      </c>
      <c r="C308" s="66" t="s">
        <v>1853</v>
      </c>
      <c r="D308" s="67">
        <v>2</v>
      </c>
      <c r="E308" s="68"/>
      <c r="F308" s="69">
        <v>32</v>
      </c>
      <c r="G308" s="66"/>
      <c r="H308" s="70"/>
      <c r="I308" s="71"/>
      <c r="J308" s="71"/>
      <c r="K308" s="34" t="s">
        <v>66</v>
      </c>
      <c r="L308" s="78">
        <v>308</v>
      </c>
      <c r="M308" s="78"/>
      <c r="N308" s="73"/>
      <c r="O308" s="80" t="s">
        <v>210</v>
      </c>
      <c r="P308" s="80" t="s">
        <v>196</v>
      </c>
      <c r="Q308" s="80" t="s">
        <v>907</v>
      </c>
      <c r="R308" s="80" t="s">
        <v>610</v>
      </c>
      <c r="S308" s="80" t="s">
        <v>1072</v>
      </c>
      <c r="T308" s="82" t="str">
        <f>HYPERLINK("http://www.youtube.com/channel/UCh4IcDwtnBwbxUQMRwrWZaA")</f>
        <v>http://www.youtube.com/channel/UCh4IcDwtnBwbxUQMRwrWZaA</v>
      </c>
      <c r="U308" s="80"/>
      <c r="V308" s="80" t="s">
        <v>1229</v>
      </c>
      <c r="W308" s="82" t="str">
        <f>HYPERLINK("https://www.youtube.com/watch?v=cDs0Ua7zmSM")</f>
        <v>https://www.youtube.com/watch?v=cDs0Ua7zmSM</v>
      </c>
      <c r="X308" s="80" t="s">
        <v>213</v>
      </c>
      <c r="Y308" s="80">
        <v>1</v>
      </c>
      <c r="Z308" s="84">
        <v>44003.439409722225</v>
      </c>
      <c r="AA308" s="84">
        <v>44003.439409722225</v>
      </c>
      <c r="AB308" s="80"/>
      <c r="AC308" s="80"/>
      <c r="AD308" s="80"/>
      <c r="AE308" s="80">
        <v>1</v>
      </c>
      <c r="AF308" s="79" t="str">
        <f>REPLACE(INDEX(GroupVertices[Group],MATCH(Edges[[#This Row],[Vertex 1]],GroupVertices[Vertex],0)),1,1,"")</f>
        <v>14</v>
      </c>
      <c r="AG308" s="79" t="str">
        <f>REPLACE(INDEX(GroupVertices[Group],MATCH(Edges[[#This Row],[Vertex 2]],GroupVertices[Vertex],0)),1,1,"")</f>
        <v>14</v>
      </c>
      <c r="AH308" s="34"/>
      <c r="AI308" s="34"/>
      <c r="AJ308" s="34"/>
      <c r="AK308" s="34"/>
      <c r="AL308" s="34"/>
      <c r="AM308" s="34"/>
      <c r="AN308" s="34"/>
      <c r="AO308" s="34"/>
      <c r="AP308" s="34"/>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16B3A-9F72-4F79-80DE-0C83BE24461A}">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353</v>
      </c>
      <c r="B2" s="118" t="s">
        <v>354</v>
      </c>
      <c r="C2" s="52" t="s">
        <v>355</v>
      </c>
    </row>
    <row r="3" spans="1:3" ht="15">
      <c r="A3" s="117" t="s">
        <v>232</v>
      </c>
      <c r="B3" s="117" t="s">
        <v>232</v>
      </c>
      <c r="C3" s="34">
        <v>2</v>
      </c>
    </row>
    <row r="4" spans="1:3" ht="15">
      <c r="A4" s="122" t="s">
        <v>233</v>
      </c>
      <c r="B4" s="121" t="s">
        <v>233</v>
      </c>
      <c r="C4" s="34">
        <v>60</v>
      </c>
    </row>
    <row r="5" spans="1:3" ht="15">
      <c r="A5" s="122" t="s">
        <v>233</v>
      </c>
      <c r="B5" s="121" t="s">
        <v>250</v>
      </c>
      <c r="C5" s="34">
        <v>2</v>
      </c>
    </row>
    <row r="6" spans="1:3" ht="15">
      <c r="A6" s="122" t="s">
        <v>234</v>
      </c>
      <c r="B6" s="121" t="s">
        <v>234</v>
      </c>
      <c r="C6" s="34">
        <v>53</v>
      </c>
    </row>
    <row r="7" spans="1:3" ht="15">
      <c r="A7" s="122" t="s">
        <v>235</v>
      </c>
      <c r="B7" s="121" t="s">
        <v>235</v>
      </c>
      <c r="C7" s="34">
        <v>18</v>
      </c>
    </row>
    <row r="8" spans="1:3" ht="15">
      <c r="A8" s="122" t="s">
        <v>236</v>
      </c>
      <c r="B8" s="121" t="s">
        <v>236</v>
      </c>
      <c r="C8" s="34">
        <v>23</v>
      </c>
    </row>
    <row r="9" spans="1:3" ht="15">
      <c r="A9" s="122" t="s">
        <v>237</v>
      </c>
      <c r="B9" s="121" t="s">
        <v>237</v>
      </c>
      <c r="C9" s="34">
        <v>18</v>
      </c>
    </row>
    <row r="10" spans="1:3" ht="15">
      <c r="A10" s="122" t="s">
        <v>238</v>
      </c>
      <c r="B10" s="121" t="s">
        <v>238</v>
      </c>
      <c r="C10" s="34">
        <v>12</v>
      </c>
    </row>
    <row r="11" spans="1:3" ht="15">
      <c r="A11" s="122" t="s">
        <v>239</v>
      </c>
      <c r="B11" s="121" t="s">
        <v>239</v>
      </c>
      <c r="C11" s="34">
        <v>10</v>
      </c>
    </row>
    <row r="12" spans="1:3" ht="15">
      <c r="A12" s="122" t="s">
        <v>240</v>
      </c>
      <c r="B12" s="121" t="s">
        <v>240</v>
      </c>
      <c r="C12" s="34">
        <v>13</v>
      </c>
    </row>
    <row r="13" spans="1:3" ht="15">
      <c r="A13" s="122" t="s">
        <v>241</v>
      </c>
      <c r="B13" s="121" t="s">
        <v>241</v>
      </c>
      <c r="C13" s="34">
        <v>15</v>
      </c>
    </row>
    <row r="14" spans="1:3" ht="15">
      <c r="A14" s="122" t="s">
        <v>242</v>
      </c>
      <c r="B14" s="121" t="s">
        <v>233</v>
      </c>
      <c r="C14" s="34">
        <v>2</v>
      </c>
    </row>
    <row r="15" spans="1:3" ht="15">
      <c r="A15" s="122" t="s">
        <v>242</v>
      </c>
      <c r="B15" s="121" t="s">
        <v>242</v>
      </c>
      <c r="C15" s="34">
        <v>9</v>
      </c>
    </row>
    <row r="16" spans="1:3" ht="15">
      <c r="A16" s="122" t="s">
        <v>243</v>
      </c>
      <c r="B16" s="121" t="s">
        <v>233</v>
      </c>
      <c r="C16" s="34">
        <v>2</v>
      </c>
    </row>
    <row r="17" spans="1:3" ht="15">
      <c r="A17" s="122" t="s">
        <v>243</v>
      </c>
      <c r="B17" s="121" t="s">
        <v>243</v>
      </c>
      <c r="C17" s="34">
        <v>7</v>
      </c>
    </row>
    <row r="18" spans="1:3" ht="15">
      <c r="A18" s="122" t="s">
        <v>244</v>
      </c>
      <c r="B18" s="121" t="s">
        <v>244</v>
      </c>
      <c r="C18" s="34">
        <v>6</v>
      </c>
    </row>
    <row r="19" spans="1:3" ht="15">
      <c r="A19" s="122" t="s">
        <v>245</v>
      </c>
      <c r="B19" s="121" t="s">
        <v>245</v>
      </c>
      <c r="C19" s="34">
        <v>6</v>
      </c>
    </row>
    <row r="20" spans="1:3" ht="15">
      <c r="A20" s="122" t="s">
        <v>246</v>
      </c>
      <c r="B20" s="121" t="s">
        <v>246</v>
      </c>
      <c r="C20" s="34">
        <v>6</v>
      </c>
    </row>
    <row r="21" spans="1:3" ht="15">
      <c r="A21" s="122" t="s">
        <v>247</v>
      </c>
      <c r="B21" s="121" t="s">
        <v>247</v>
      </c>
      <c r="C21" s="34">
        <v>7</v>
      </c>
    </row>
    <row r="22" spans="1:3" ht="15">
      <c r="A22" s="122" t="s">
        <v>248</v>
      </c>
      <c r="B22" s="121" t="s">
        <v>248</v>
      </c>
      <c r="C22" s="34">
        <v>4</v>
      </c>
    </row>
    <row r="23" spans="1:3" ht="15">
      <c r="A23" s="122" t="s">
        <v>249</v>
      </c>
      <c r="B23" s="121" t="s">
        <v>249</v>
      </c>
      <c r="C23" s="34">
        <v>5</v>
      </c>
    </row>
    <row r="24" spans="1:3" ht="15">
      <c r="A24" s="122" t="s">
        <v>250</v>
      </c>
      <c r="B24" s="121" t="s">
        <v>233</v>
      </c>
      <c r="C24" s="34">
        <v>1</v>
      </c>
    </row>
    <row r="25" spans="1:3" ht="15">
      <c r="A25" s="122" t="s">
        <v>250</v>
      </c>
      <c r="B25" s="121" t="s">
        <v>250</v>
      </c>
      <c r="C25" s="34">
        <v>3</v>
      </c>
    </row>
    <row r="26" spans="1:3" ht="15">
      <c r="A26" s="122" t="s">
        <v>251</v>
      </c>
      <c r="B26" s="121" t="s">
        <v>251</v>
      </c>
      <c r="C26" s="34">
        <v>5</v>
      </c>
    </row>
    <row r="27" spans="1:3" ht="15">
      <c r="A27" s="122" t="s">
        <v>252</v>
      </c>
      <c r="B27" s="121" t="s">
        <v>252</v>
      </c>
      <c r="C27" s="34">
        <v>4</v>
      </c>
    </row>
    <row r="28" spans="1:3" ht="15">
      <c r="A28" s="122" t="s">
        <v>253</v>
      </c>
      <c r="B28" s="121" t="s">
        <v>233</v>
      </c>
      <c r="C28" s="34">
        <v>1</v>
      </c>
    </row>
    <row r="29" spans="1:3" ht="15">
      <c r="A29" s="122" t="s">
        <v>253</v>
      </c>
      <c r="B29" s="121" t="s">
        <v>253</v>
      </c>
      <c r="C29" s="34">
        <v>2</v>
      </c>
    </row>
    <row r="30" spans="1:3" ht="15">
      <c r="A30" s="122" t="s">
        <v>254</v>
      </c>
      <c r="B30" s="121" t="s">
        <v>254</v>
      </c>
      <c r="C30" s="34">
        <v>4</v>
      </c>
    </row>
    <row r="31" spans="1:3" ht="15">
      <c r="A31" s="122" t="s">
        <v>255</v>
      </c>
      <c r="B31" s="121" t="s">
        <v>255</v>
      </c>
      <c r="C31" s="34">
        <v>2</v>
      </c>
    </row>
    <row r="32" spans="1:3" ht="15">
      <c r="A32" s="122" t="s">
        <v>256</v>
      </c>
      <c r="B32" s="121" t="s">
        <v>256</v>
      </c>
      <c r="C32" s="34">
        <v>2</v>
      </c>
    </row>
    <row r="33" spans="1:3" ht="15">
      <c r="A33" s="122" t="s">
        <v>257</v>
      </c>
      <c r="B33" s="121" t="s">
        <v>257</v>
      </c>
      <c r="C33" s="34">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3373-C7F6-4815-B3E5-7233873DF81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373</v>
      </c>
      <c r="B1" s="13" t="s">
        <v>17</v>
      </c>
    </row>
    <row r="2" spans="1:2" ht="15">
      <c r="A2" s="79" t="s">
        <v>374</v>
      </c>
      <c r="B2" s="79" t="s">
        <v>380</v>
      </c>
    </row>
    <row r="3" spans="1:2" ht="15">
      <c r="A3" s="79" t="s">
        <v>375</v>
      </c>
      <c r="B3" s="79" t="s">
        <v>381</v>
      </c>
    </row>
    <row r="4" spans="1:2" ht="15">
      <c r="A4" s="79" t="s">
        <v>376</v>
      </c>
      <c r="B4" s="79" t="s">
        <v>382</v>
      </c>
    </row>
    <row r="5" spans="1:2" ht="15">
      <c r="A5" s="79" t="s">
        <v>377</v>
      </c>
      <c r="B5" s="79" t="s">
        <v>383</v>
      </c>
    </row>
    <row r="6" spans="1:2" ht="15">
      <c r="A6" s="79" t="s">
        <v>378</v>
      </c>
      <c r="B6" s="79" t="s">
        <v>384</v>
      </c>
    </row>
    <row r="7" spans="1:2" ht="15">
      <c r="A7" s="79" t="s">
        <v>379</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6847-3EC2-419B-AEDF-DA83F59A7FDA}">
  <dimension ref="A1:V23"/>
  <sheetViews>
    <sheetView workbookViewId="0" topLeftCell="A1"/>
  </sheetViews>
  <sheetFormatPr defaultColWidth="9.140625" defaultRowHeight="15"/>
  <cols>
    <col min="1" max="1" width="38.28125" style="0" bestFit="1" customWidth="1"/>
    <col min="2" max="2" width="35.7109375" style="0" customWidth="1"/>
    <col min="3" max="3" width="28.7109375" style="0" bestFit="1" customWidth="1"/>
    <col min="4" max="4" width="35.7109375" style="0" customWidth="1"/>
    <col min="5" max="5" width="28.7109375" style="0" bestFit="1" customWidth="1"/>
    <col min="6" max="6" width="35.7109375" style="0" customWidth="1"/>
    <col min="7" max="7" width="28.7109375" style="0" bestFit="1" customWidth="1"/>
    <col min="8" max="8" width="35.7109375" style="0" customWidth="1"/>
    <col min="9" max="9" width="28.7109375" style="0" bestFit="1" customWidth="1"/>
    <col min="10" max="10" width="35.7109375" style="0" customWidth="1"/>
    <col min="11" max="11" width="28.7109375" style="0" bestFit="1" customWidth="1"/>
    <col min="12" max="12" width="35.7109375" style="0" customWidth="1"/>
    <col min="13" max="13" width="28.7109375" style="0" bestFit="1" customWidth="1"/>
    <col min="14" max="14" width="35.7109375" style="0" customWidth="1"/>
    <col min="15" max="15" width="28.7109375" style="0" bestFit="1" customWidth="1"/>
    <col min="16" max="16" width="35.7109375" style="0" customWidth="1"/>
    <col min="17" max="17" width="28.7109375" style="0" bestFit="1" customWidth="1"/>
    <col min="18" max="18" width="36.7109375" style="0" customWidth="1"/>
    <col min="19" max="19" width="28.7109375" style="0" bestFit="1" customWidth="1"/>
    <col min="20" max="20" width="10.7109375" style="0" bestFit="1" customWidth="1"/>
    <col min="21" max="21" width="36.7109375" style="0" customWidth="1"/>
    <col min="22" max="22" width="11.7109375" style="0" bestFit="1" customWidth="1"/>
  </cols>
  <sheetData>
    <row r="1" spans="1:22" ht="14.4" customHeight="1">
      <c r="A1" s="79" t="s">
        <v>385</v>
      </c>
      <c r="B1" s="79" t="s">
        <v>386</v>
      </c>
      <c r="C1" s="13" t="s">
        <v>387</v>
      </c>
      <c r="D1" s="13" t="s">
        <v>389</v>
      </c>
      <c r="E1" s="13" t="s">
        <v>388</v>
      </c>
      <c r="F1" s="13" t="s">
        <v>391</v>
      </c>
      <c r="G1" s="13" t="s">
        <v>390</v>
      </c>
      <c r="H1" s="13" t="s">
        <v>393</v>
      </c>
      <c r="I1" s="13" t="s">
        <v>392</v>
      </c>
      <c r="J1" s="13" t="s">
        <v>395</v>
      </c>
      <c r="K1" s="13" t="s">
        <v>394</v>
      </c>
      <c r="L1" s="13" t="s">
        <v>397</v>
      </c>
      <c r="M1" s="13" t="s">
        <v>396</v>
      </c>
      <c r="N1" s="13" t="s">
        <v>399</v>
      </c>
      <c r="O1" s="13" t="s">
        <v>398</v>
      </c>
      <c r="P1" s="13" t="s">
        <v>401</v>
      </c>
      <c r="Q1" s="13" t="s">
        <v>400</v>
      </c>
      <c r="R1" s="13" t="s">
        <v>403</v>
      </c>
      <c r="S1" s="13" t="s">
        <v>402</v>
      </c>
      <c r="T1" s="13" t="s">
        <v>405</v>
      </c>
      <c r="U1" s="13" t="s">
        <v>404</v>
      </c>
      <c r="V1" s="13" t="s">
        <v>406</v>
      </c>
    </row>
    <row r="2" spans="1:22" ht="15">
      <c r="A2" s="79"/>
      <c r="B2" s="79"/>
      <c r="C2" s="112" t="s">
        <v>1450</v>
      </c>
      <c r="D2" s="112">
        <v>40</v>
      </c>
      <c r="E2" s="112" t="s">
        <v>302</v>
      </c>
      <c r="F2" s="112">
        <v>6</v>
      </c>
      <c r="G2" s="112" t="s">
        <v>1454</v>
      </c>
      <c r="H2" s="112">
        <v>6</v>
      </c>
      <c r="I2" s="112" t="s">
        <v>1453</v>
      </c>
      <c r="J2" s="112">
        <v>5</v>
      </c>
      <c r="K2" s="112" t="s">
        <v>1450</v>
      </c>
      <c r="L2" s="112">
        <v>3</v>
      </c>
      <c r="M2" s="112" t="s">
        <v>1450</v>
      </c>
      <c r="N2" s="112">
        <v>7</v>
      </c>
      <c r="O2" s="112" t="s">
        <v>1463</v>
      </c>
      <c r="P2" s="112">
        <v>5</v>
      </c>
      <c r="Q2" s="112" t="s">
        <v>1453</v>
      </c>
      <c r="R2" s="112">
        <v>5</v>
      </c>
      <c r="S2" s="112" t="s">
        <v>1482</v>
      </c>
      <c r="T2" s="112">
        <v>6</v>
      </c>
      <c r="U2" s="112" t="s">
        <v>1450</v>
      </c>
      <c r="V2" s="112">
        <v>6</v>
      </c>
    </row>
    <row r="3" spans="1:22" ht="15">
      <c r="A3" s="80"/>
      <c r="B3" s="80"/>
      <c r="C3" s="112" t="s">
        <v>1451</v>
      </c>
      <c r="D3" s="112">
        <v>32</v>
      </c>
      <c r="E3" s="112" t="s">
        <v>1452</v>
      </c>
      <c r="F3" s="112">
        <v>5</v>
      </c>
      <c r="G3" s="112" t="s">
        <v>287</v>
      </c>
      <c r="H3" s="112">
        <v>5</v>
      </c>
      <c r="I3" s="112" t="s">
        <v>1450</v>
      </c>
      <c r="J3" s="112">
        <v>3</v>
      </c>
      <c r="K3" s="112" t="s">
        <v>1451</v>
      </c>
      <c r="L3" s="112">
        <v>3</v>
      </c>
      <c r="M3" s="112" t="s">
        <v>1451</v>
      </c>
      <c r="N3" s="112">
        <v>7</v>
      </c>
      <c r="O3" s="112" t="s">
        <v>1461</v>
      </c>
      <c r="P3" s="112">
        <v>3</v>
      </c>
      <c r="Q3" s="112" t="s">
        <v>1450</v>
      </c>
      <c r="R3" s="112">
        <v>3</v>
      </c>
      <c r="S3" s="112" t="s">
        <v>1453</v>
      </c>
      <c r="T3" s="112">
        <v>5</v>
      </c>
      <c r="U3" s="112" t="s">
        <v>1454</v>
      </c>
      <c r="V3" s="112">
        <v>4</v>
      </c>
    </row>
    <row r="4" spans="1:22" ht="15">
      <c r="A4" s="80" t="s">
        <v>409</v>
      </c>
      <c r="B4" s="80"/>
      <c r="C4" s="112" t="s">
        <v>1452</v>
      </c>
      <c r="D4" s="112">
        <v>27</v>
      </c>
      <c r="E4" s="112" t="s">
        <v>1455</v>
      </c>
      <c r="F4" s="112">
        <v>4</v>
      </c>
      <c r="G4" s="112" t="s">
        <v>1456</v>
      </c>
      <c r="H4" s="112">
        <v>4</v>
      </c>
      <c r="I4" s="112" t="s">
        <v>1464</v>
      </c>
      <c r="J4" s="112">
        <v>2</v>
      </c>
      <c r="K4" s="112" t="s">
        <v>1457</v>
      </c>
      <c r="L4" s="112">
        <v>2</v>
      </c>
      <c r="M4" s="112" t="s">
        <v>1510</v>
      </c>
      <c r="N4" s="112">
        <v>4</v>
      </c>
      <c r="O4" s="112" t="s">
        <v>1466</v>
      </c>
      <c r="P4" s="112">
        <v>3</v>
      </c>
      <c r="Q4" s="112" t="s">
        <v>1451</v>
      </c>
      <c r="R4" s="112">
        <v>3</v>
      </c>
      <c r="S4" s="112" t="s">
        <v>1517</v>
      </c>
      <c r="T4" s="112">
        <v>3</v>
      </c>
      <c r="U4" s="112" t="s">
        <v>293</v>
      </c>
      <c r="V4" s="112">
        <v>2</v>
      </c>
    </row>
    <row r="5" spans="1:22" ht="15">
      <c r="A5" s="80"/>
      <c r="B5" s="80"/>
      <c r="C5" s="112" t="s">
        <v>1454</v>
      </c>
      <c r="D5" s="112">
        <v>13</v>
      </c>
      <c r="E5" s="112" t="s">
        <v>1454</v>
      </c>
      <c r="F5" s="112">
        <v>4</v>
      </c>
      <c r="G5" s="112" t="s">
        <v>1579</v>
      </c>
      <c r="H5" s="112">
        <v>3</v>
      </c>
      <c r="I5" s="112" t="s">
        <v>1460</v>
      </c>
      <c r="J5" s="112">
        <v>2</v>
      </c>
      <c r="K5" s="112" t="s">
        <v>1500</v>
      </c>
      <c r="L5" s="112">
        <v>2</v>
      </c>
      <c r="M5" s="112" t="s">
        <v>1557</v>
      </c>
      <c r="N5" s="112">
        <v>3</v>
      </c>
      <c r="O5" s="112" t="s">
        <v>294</v>
      </c>
      <c r="P5" s="112">
        <v>2</v>
      </c>
      <c r="Q5" s="112" t="s">
        <v>1480</v>
      </c>
      <c r="R5" s="112">
        <v>2</v>
      </c>
      <c r="S5" s="112" t="s">
        <v>1468</v>
      </c>
      <c r="T5" s="112">
        <v>3</v>
      </c>
      <c r="U5" s="112" t="s">
        <v>1656</v>
      </c>
      <c r="V5" s="112">
        <v>2</v>
      </c>
    </row>
    <row r="6" spans="1:22" ht="15">
      <c r="A6" s="80"/>
      <c r="B6" s="80"/>
      <c r="C6" s="112" t="s">
        <v>287</v>
      </c>
      <c r="D6" s="112">
        <v>11</v>
      </c>
      <c r="E6" s="112" t="s">
        <v>1456</v>
      </c>
      <c r="F6" s="112">
        <v>4</v>
      </c>
      <c r="G6" s="112" t="s">
        <v>1493</v>
      </c>
      <c r="H6" s="112">
        <v>3</v>
      </c>
      <c r="I6" s="112" t="s">
        <v>293</v>
      </c>
      <c r="J6" s="112">
        <v>2</v>
      </c>
      <c r="K6" s="112" t="s">
        <v>1527</v>
      </c>
      <c r="L6" s="112">
        <v>2</v>
      </c>
      <c r="M6" s="112" t="s">
        <v>1457</v>
      </c>
      <c r="N6" s="112">
        <v>3</v>
      </c>
      <c r="O6" s="112" t="s">
        <v>1628</v>
      </c>
      <c r="P6" s="112">
        <v>2</v>
      </c>
      <c r="Q6" s="112" t="s">
        <v>1459</v>
      </c>
      <c r="R6" s="112">
        <v>2</v>
      </c>
      <c r="S6" s="112" t="s">
        <v>1450</v>
      </c>
      <c r="T6" s="112">
        <v>2</v>
      </c>
      <c r="U6" s="112" t="s">
        <v>1459</v>
      </c>
      <c r="V6" s="112">
        <v>2</v>
      </c>
    </row>
    <row r="7" spans="1:22" ht="15">
      <c r="A7" s="80" t="s">
        <v>386</v>
      </c>
      <c r="B7" s="80"/>
      <c r="C7" s="112" t="s">
        <v>1455</v>
      </c>
      <c r="D7" s="112">
        <v>11</v>
      </c>
      <c r="E7" s="112" t="s">
        <v>1450</v>
      </c>
      <c r="F7" s="112">
        <v>3</v>
      </c>
      <c r="G7" s="112" t="s">
        <v>1450</v>
      </c>
      <c r="H7" s="112">
        <v>3</v>
      </c>
      <c r="I7" s="112" t="s">
        <v>1481</v>
      </c>
      <c r="J7" s="112">
        <v>2</v>
      </c>
      <c r="K7" s="112" t="s">
        <v>319</v>
      </c>
      <c r="L7" s="112">
        <v>2</v>
      </c>
      <c r="M7" s="112" t="s">
        <v>1650</v>
      </c>
      <c r="N7" s="112">
        <v>2</v>
      </c>
      <c r="O7" s="112" t="s">
        <v>1629</v>
      </c>
      <c r="P7" s="112">
        <v>2</v>
      </c>
      <c r="Q7" s="112" t="s">
        <v>1710</v>
      </c>
      <c r="R7" s="112">
        <v>2</v>
      </c>
      <c r="S7" s="112" t="s">
        <v>1451</v>
      </c>
      <c r="T7" s="112">
        <v>2</v>
      </c>
      <c r="U7" s="112" t="s">
        <v>1560</v>
      </c>
      <c r="V7" s="112">
        <v>2</v>
      </c>
    </row>
    <row r="8" spans="1:22" ht="15">
      <c r="A8" s="80"/>
      <c r="B8" s="80"/>
      <c r="C8" s="112" t="s">
        <v>1458</v>
      </c>
      <c r="D8" s="112">
        <v>9</v>
      </c>
      <c r="E8" s="112" t="s">
        <v>1451</v>
      </c>
      <c r="F8" s="112">
        <v>3</v>
      </c>
      <c r="G8" s="112" t="s">
        <v>1483</v>
      </c>
      <c r="H8" s="112">
        <v>3</v>
      </c>
      <c r="I8" s="112" t="s">
        <v>306</v>
      </c>
      <c r="J8" s="112">
        <v>2</v>
      </c>
      <c r="K8" s="112"/>
      <c r="L8" s="112"/>
      <c r="M8" s="112" t="s">
        <v>1651</v>
      </c>
      <c r="N8" s="112">
        <v>2</v>
      </c>
      <c r="O8" s="112" t="s">
        <v>1547</v>
      </c>
      <c r="P8" s="112">
        <v>2</v>
      </c>
      <c r="Q8" s="112" t="s">
        <v>1711</v>
      </c>
      <c r="R8" s="112">
        <v>2</v>
      </c>
      <c r="S8" s="112" t="s">
        <v>1571</v>
      </c>
      <c r="T8" s="112">
        <v>2</v>
      </c>
      <c r="U8" s="112" t="s">
        <v>1561</v>
      </c>
      <c r="V8" s="112">
        <v>2</v>
      </c>
    </row>
    <row r="9" spans="1:22" ht="15">
      <c r="A9" s="80"/>
      <c r="B9" s="80"/>
      <c r="C9" s="112" t="s">
        <v>1457</v>
      </c>
      <c r="D9" s="112">
        <v>8</v>
      </c>
      <c r="E9" s="112" t="s">
        <v>1605</v>
      </c>
      <c r="F9" s="112">
        <v>2</v>
      </c>
      <c r="G9" s="112" t="s">
        <v>293</v>
      </c>
      <c r="H9" s="112">
        <v>3</v>
      </c>
      <c r="I9" s="112"/>
      <c r="J9" s="112"/>
      <c r="K9" s="112"/>
      <c r="L9" s="112"/>
      <c r="M9" s="112" t="s">
        <v>1652</v>
      </c>
      <c r="N9" s="112">
        <v>2</v>
      </c>
      <c r="O9" s="112" t="s">
        <v>1630</v>
      </c>
      <c r="P9" s="112">
        <v>2</v>
      </c>
      <c r="Q9" s="112" t="s">
        <v>286</v>
      </c>
      <c r="R9" s="112">
        <v>2</v>
      </c>
      <c r="S9" s="112" t="s">
        <v>1719</v>
      </c>
      <c r="T9" s="112">
        <v>2</v>
      </c>
      <c r="U9" s="112" t="s">
        <v>1529</v>
      </c>
      <c r="V9" s="112">
        <v>2</v>
      </c>
    </row>
    <row r="10" spans="1:22" ht="15">
      <c r="A10" s="80" t="s">
        <v>410</v>
      </c>
      <c r="B10" s="80"/>
      <c r="C10" s="112" t="s">
        <v>302</v>
      </c>
      <c r="D10" s="112">
        <v>8</v>
      </c>
      <c r="E10" s="112" t="s">
        <v>1606</v>
      </c>
      <c r="F10" s="112">
        <v>2</v>
      </c>
      <c r="G10" s="112" t="s">
        <v>1492</v>
      </c>
      <c r="H10" s="112">
        <v>3</v>
      </c>
      <c r="I10" s="112"/>
      <c r="J10" s="112"/>
      <c r="K10" s="112"/>
      <c r="L10" s="112"/>
      <c r="M10" s="112" t="s">
        <v>1653</v>
      </c>
      <c r="N10" s="112">
        <v>2</v>
      </c>
      <c r="O10" s="112" t="s">
        <v>1631</v>
      </c>
      <c r="P10" s="112">
        <v>2</v>
      </c>
      <c r="Q10" s="112" t="s">
        <v>1712</v>
      </c>
      <c r="R10" s="112">
        <v>2</v>
      </c>
      <c r="S10" s="112"/>
      <c r="T10" s="112"/>
      <c r="U10" s="112" t="s">
        <v>292</v>
      </c>
      <c r="V10" s="112">
        <v>2</v>
      </c>
    </row>
    <row r="11" spans="1:22" ht="15">
      <c r="A11" s="80"/>
      <c r="B11" s="80"/>
      <c r="C11" s="112" t="s">
        <v>1453</v>
      </c>
      <c r="D11" s="112">
        <v>7</v>
      </c>
      <c r="E11" s="112" t="s">
        <v>1607</v>
      </c>
      <c r="F11" s="112">
        <v>2</v>
      </c>
      <c r="G11" s="112" t="s">
        <v>1453</v>
      </c>
      <c r="H11" s="112">
        <v>3</v>
      </c>
      <c r="I11" s="112"/>
      <c r="J11" s="112"/>
      <c r="K11" s="112"/>
      <c r="L11" s="112"/>
      <c r="M11" s="112" t="s">
        <v>1654</v>
      </c>
      <c r="N11" s="112">
        <v>2</v>
      </c>
      <c r="O11" s="112" t="s">
        <v>1632</v>
      </c>
      <c r="P11" s="112">
        <v>2</v>
      </c>
      <c r="Q11" s="112" t="s">
        <v>1713</v>
      </c>
      <c r="R11" s="112">
        <v>2</v>
      </c>
      <c r="S11" s="112"/>
      <c r="T11" s="112"/>
      <c r="U11" s="112"/>
      <c r="V11" s="112"/>
    </row>
    <row r="13" spans="1:19" ht="14.4" customHeight="1">
      <c r="A13" s="13" t="s">
        <v>389</v>
      </c>
      <c r="B13" s="13" t="s">
        <v>411</v>
      </c>
      <c r="C13" s="13" t="s">
        <v>391</v>
      </c>
      <c r="D13" s="13" t="s">
        <v>412</v>
      </c>
      <c r="E13" s="13" t="s">
        <v>393</v>
      </c>
      <c r="F13" s="79" t="s">
        <v>413</v>
      </c>
      <c r="G13" s="79" t="s">
        <v>395</v>
      </c>
      <c r="H13" s="13" t="s">
        <v>414</v>
      </c>
      <c r="I13" s="13" t="s">
        <v>397</v>
      </c>
      <c r="J13" s="13" t="s">
        <v>415</v>
      </c>
      <c r="K13" s="13" t="s">
        <v>399</v>
      </c>
      <c r="L13" s="13" t="s">
        <v>416</v>
      </c>
      <c r="M13" s="13" t="s">
        <v>401</v>
      </c>
      <c r="N13" s="13" t="s">
        <v>417</v>
      </c>
      <c r="O13" s="13" t="s">
        <v>403</v>
      </c>
      <c r="P13" s="13" t="s">
        <v>418</v>
      </c>
      <c r="Q13" s="13" t="s">
        <v>405</v>
      </c>
      <c r="R13" s="13" t="s">
        <v>419</v>
      </c>
      <c r="S13" s="13" t="s">
        <v>406</v>
      </c>
    </row>
    <row r="14" spans="1:19" ht="15">
      <c r="A14" s="79">
        <v>31</v>
      </c>
      <c r="B14" s="112" t="s">
        <v>1800</v>
      </c>
      <c r="C14" s="112">
        <v>4</v>
      </c>
      <c r="D14" s="112" t="s">
        <v>1801</v>
      </c>
      <c r="E14" s="112">
        <v>2</v>
      </c>
      <c r="F14" s="112"/>
      <c r="G14" s="112"/>
      <c r="H14" s="112" t="s">
        <v>1801</v>
      </c>
      <c r="I14" s="112">
        <v>3</v>
      </c>
      <c r="J14" s="112" t="s">
        <v>1801</v>
      </c>
      <c r="K14" s="112">
        <v>7</v>
      </c>
      <c r="L14" s="112" t="s">
        <v>1807</v>
      </c>
      <c r="M14" s="112">
        <v>2</v>
      </c>
      <c r="N14" s="112" t="s">
        <v>1801</v>
      </c>
      <c r="O14" s="112">
        <v>3</v>
      </c>
      <c r="P14" s="112" t="s">
        <v>1813</v>
      </c>
      <c r="Q14" s="112">
        <v>3</v>
      </c>
      <c r="R14" s="112" t="s">
        <v>1817</v>
      </c>
      <c r="S14" s="112">
        <v>2</v>
      </c>
    </row>
    <row r="15" spans="1:19" ht="15">
      <c r="A15" s="79">
        <v>8</v>
      </c>
      <c r="B15" s="112" t="s">
        <v>1801</v>
      </c>
      <c r="C15" s="112">
        <v>3</v>
      </c>
      <c r="D15" s="112" t="s">
        <v>1804</v>
      </c>
      <c r="E15" s="112">
        <v>2</v>
      </c>
      <c r="F15" s="112"/>
      <c r="G15" s="112"/>
      <c r="H15" s="112"/>
      <c r="I15" s="112"/>
      <c r="J15" s="112"/>
      <c r="K15" s="112"/>
      <c r="L15" s="112" t="s">
        <v>1808</v>
      </c>
      <c r="M15" s="112">
        <v>2</v>
      </c>
      <c r="N15" s="112" t="s">
        <v>1810</v>
      </c>
      <c r="O15" s="112">
        <v>2</v>
      </c>
      <c r="P15" s="112" t="s">
        <v>1801</v>
      </c>
      <c r="Q15" s="112">
        <v>2</v>
      </c>
      <c r="R15" s="112" t="s">
        <v>1818</v>
      </c>
      <c r="S15" s="112">
        <v>2</v>
      </c>
    </row>
    <row r="16" spans="1:19" ht="15">
      <c r="A16" s="79">
        <v>5</v>
      </c>
      <c r="B16" s="112" t="s">
        <v>1802</v>
      </c>
      <c r="C16" s="112">
        <v>2</v>
      </c>
      <c r="D16" s="112" t="s">
        <v>1806</v>
      </c>
      <c r="E16" s="112">
        <v>2</v>
      </c>
      <c r="F16" s="112"/>
      <c r="G16" s="112"/>
      <c r="H16" s="112"/>
      <c r="I16" s="112"/>
      <c r="J16" s="112"/>
      <c r="K16" s="112"/>
      <c r="L16" s="112" t="s">
        <v>1809</v>
      </c>
      <c r="M16" s="112">
        <v>2</v>
      </c>
      <c r="N16" s="112" t="s">
        <v>1811</v>
      </c>
      <c r="O16" s="112">
        <v>2</v>
      </c>
      <c r="P16" s="112" t="s">
        <v>1814</v>
      </c>
      <c r="Q16" s="112">
        <v>2</v>
      </c>
      <c r="R16" s="112" t="s">
        <v>1819</v>
      </c>
      <c r="S16" s="112">
        <v>2</v>
      </c>
    </row>
    <row r="17" spans="1:19" ht="15">
      <c r="A17" s="79">
        <v>4</v>
      </c>
      <c r="B17" s="112" t="s">
        <v>1803</v>
      </c>
      <c r="C17" s="112">
        <v>2</v>
      </c>
      <c r="D17" s="112"/>
      <c r="E17" s="112"/>
      <c r="F17" s="112"/>
      <c r="G17" s="112"/>
      <c r="H17" s="112"/>
      <c r="I17" s="112"/>
      <c r="J17" s="112"/>
      <c r="K17" s="112"/>
      <c r="L17" s="112" t="s">
        <v>1801</v>
      </c>
      <c r="M17" s="112">
        <v>2</v>
      </c>
      <c r="N17" s="112" t="s">
        <v>1812</v>
      </c>
      <c r="O17" s="112">
        <v>2</v>
      </c>
      <c r="P17" s="112" t="s">
        <v>1815</v>
      </c>
      <c r="Q17" s="112">
        <v>2</v>
      </c>
      <c r="R17" s="112" t="s">
        <v>1820</v>
      </c>
      <c r="S17" s="112">
        <v>2</v>
      </c>
    </row>
    <row r="18" spans="1:19" ht="15">
      <c r="A18" s="79">
        <v>3</v>
      </c>
      <c r="B18" s="112" t="s">
        <v>1804</v>
      </c>
      <c r="C18" s="112">
        <v>2</v>
      </c>
      <c r="D18" s="112"/>
      <c r="E18" s="112"/>
      <c r="F18" s="112"/>
      <c r="G18" s="112"/>
      <c r="H18" s="112"/>
      <c r="I18" s="112"/>
      <c r="J18" s="112"/>
      <c r="K18" s="112"/>
      <c r="L18" s="112"/>
      <c r="M18" s="112"/>
      <c r="N18" s="112"/>
      <c r="O18" s="112"/>
      <c r="P18" s="112" t="s">
        <v>1816</v>
      </c>
      <c r="Q18" s="112">
        <v>2</v>
      </c>
      <c r="R18" s="112"/>
      <c r="S18" s="112"/>
    </row>
    <row r="19" spans="1:19" ht="15">
      <c r="A19" s="79">
        <v>3</v>
      </c>
      <c r="B19" s="112" t="s">
        <v>1805</v>
      </c>
      <c r="C19" s="112">
        <v>2</v>
      </c>
      <c r="D19" s="112"/>
      <c r="E19" s="112"/>
      <c r="F19" s="112"/>
      <c r="G19" s="112"/>
      <c r="H19" s="112"/>
      <c r="I19" s="112"/>
      <c r="J19" s="112"/>
      <c r="K19" s="112"/>
      <c r="L19" s="112"/>
      <c r="M19" s="112"/>
      <c r="N19" s="112"/>
      <c r="O19" s="112"/>
      <c r="P19" s="112"/>
      <c r="Q19" s="112"/>
      <c r="R19" s="112"/>
      <c r="S19" s="112"/>
    </row>
    <row r="20" spans="1:19" ht="15">
      <c r="A20" s="79">
        <v>3</v>
      </c>
      <c r="B20" s="79"/>
      <c r="C20" s="79"/>
      <c r="D20" s="79"/>
      <c r="E20" s="79"/>
      <c r="F20" s="79"/>
      <c r="G20" s="79"/>
      <c r="H20" s="79"/>
      <c r="I20" s="79"/>
      <c r="J20" s="79"/>
      <c r="K20" s="79"/>
      <c r="L20" s="79"/>
      <c r="M20" s="79"/>
      <c r="N20" s="79"/>
      <c r="O20" s="79"/>
      <c r="P20" s="79"/>
      <c r="Q20" s="79"/>
      <c r="R20" s="79"/>
      <c r="S20" s="79"/>
    </row>
    <row r="21" spans="1:19" ht="15">
      <c r="A21" s="79">
        <v>3</v>
      </c>
      <c r="B21" s="79"/>
      <c r="C21" s="79"/>
      <c r="D21" s="79"/>
      <c r="E21" s="79"/>
      <c r="F21" s="79"/>
      <c r="G21" s="79"/>
      <c r="H21" s="79"/>
      <c r="I21" s="79"/>
      <c r="J21" s="79"/>
      <c r="K21" s="79"/>
      <c r="L21" s="79"/>
      <c r="M21" s="79"/>
      <c r="N21" s="79"/>
      <c r="O21" s="79"/>
      <c r="P21" s="79"/>
      <c r="Q21" s="79"/>
      <c r="R21" s="79"/>
      <c r="S21" s="79"/>
    </row>
    <row r="22" spans="1:19" ht="15">
      <c r="A22" s="79">
        <v>3</v>
      </c>
      <c r="B22" s="79"/>
      <c r="C22" s="79"/>
      <c r="D22" s="79"/>
      <c r="E22" s="79"/>
      <c r="F22" s="79"/>
      <c r="G22" s="79"/>
      <c r="H22" s="79"/>
      <c r="I22" s="79"/>
      <c r="J22" s="79"/>
      <c r="K22" s="79"/>
      <c r="L22" s="79"/>
      <c r="M22" s="79"/>
      <c r="N22" s="79"/>
      <c r="O22" s="79"/>
      <c r="P22" s="79"/>
      <c r="Q22" s="79"/>
      <c r="R22" s="79"/>
      <c r="S22" s="79"/>
    </row>
    <row r="23" spans="1:19" ht="15">
      <c r="A23" s="79">
        <v>3</v>
      </c>
      <c r="B23" s="79"/>
      <c r="C23" s="79"/>
      <c r="D23" s="79"/>
      <c r="E23" s="79"/>
      <c r="F23" s="79"/>
      <c r="G23" s="79"/>
      <c r="H23" s="79"/>
      <c r="I23" s="79"/>
      <c r="J23" s="79"/>
      <c r="K23" s="79"/>
      <c r="L23" s="79"/>
      <c r="M23" s="79"/>
      <c r="N23" s="79"/>
      <c r="O23" s="79"/>
      <c r="P23" s="79"/>
      <c r="Q23" s="79"/>
      <c r="R23" s="79"/>
      <c r="S23" s="79"/>
    </row>
  </sheetData>
  <printOptions/>
  <pageMargins left="0.7" right="0.7" top="0.75" bottom="0.75" header="0.3" footer="0.3"/>
  <pageSetup orientation="portrait" paperSize="9"/>
  <tableParts>
    <tablePart r:id="rId2"/>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F21B4-7159-4E53-B32C-1AEDA866DAC8}">
  <dimension ref="A25:B34"/>
  <sheetViews>
    <sheetView tabSelected="1" workbookViewId="0" topLeftCell="A1"/>
  </sheetViews>
  <sheetFormatPr defaultColWidth="9.140625" defaultRowHeight="15"/>
  <cols>
    <col min="1" max="1" width="12.57421875" style="0" bestFit="1" customWidth="1"/>
    <col min="2" max="2" width="19.140625" style="0" bestFit="1" customWidth="1"/>
  </cols>
  <sheetData>
    <row r="25" spans="1:2" ht="15">
      <c r="A25" s="123" t="s">
        <v>426</v>
      </c>
      <c r="B25" t="s">
        <v>425</v>
      </c>
    </row>
    <row r="26" spans="1:2" ht="15">
      <c r="A26" s="124" t="s">
        <v>429</v>
      </c>
      <c r="B26" s="3">
        <v>306</v>
      </c>
    </row>
    <row r="27" spans="1:2" ht="15">
      <c r="A27" s="125" t="s">
        <v>428</v>
      </c>
      <c r="B27" s="3">
        <v>306</v>
      </c>
    </row>
    <row r="28" spans="1:2" ht="15">
      <c r="A28" s="126" t="s">
        <v>430</v>
      </c>
      <c r="B28" s="3">
        <v>37</v>
      </c>
    </row>
    <row r="29" spans="1:2" ht="15">
      <c r="A29" s="126" t="s">
        <v>431</v>
      </c>
      <c r="B29" s="3">
        <v>54</v>
      </c>
    </row>
    <row r="30" spans="1:2" ht="15">
      <c r="A30" s="126" t="s">
        <v>432</v>
      </c>
      <c r="B30" s="3">
        <v>82</v>
      </c>
    </row>
    <row r="31" spans="1:2" ht="15">
      <c r="A31" s="126" t="s">
        <v>433</v>
      </c>
      <c r="B31" s="3">
        <v>32</v>
      </c>
    </row>
    <row r="32" spans="1:2" ht="15">
      <c r="A32" s="126" t="s">
        <v>434</v>
      </c>
      <c r="B32" s="3">
        <v>84</v>
      </c>
    </row>
    <row r="33" spans="1:2" ht="15">
      <c r="A33" s="126" t="s">
        <v>435</v>
      </c>
      <c r="B33" s="3">
        <v>17</v>
      </c>
    </row>
    <row r="34" spans="1:2" ht="15">
      <c r="A34" s="124" t="s">
        <v>427</v>
      </c>
      <c r="B34" s="3">
        <v>306</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608"/>
  <sheetViews>
    <sheetView workbookViewId="0" topLeftCell="A1">
      <pane xSplit="1" ySplit="2" topLeftCell="AJ3" activePane="bottomRight" state="frozen"/>
      <selection pane="topRight" activeCell="B1" sqref="B1"/>
      <selection pane="bottomLeft" activeCell="A3" sqref="A3"/>
      <selection pane="bottomRight" activeCell="AF2" sqref="AF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6.7109375" style="2" bestFit="1" customWidth="1"/>
    <col min="31" max="31" width="12.421875" style="3" bestFit="1" customWidth="1"/>
    <col min="32" max="32" width="18.140625" style="3" bestFit="1" customWidth="1"/>
    <col min="33" max="33" width="15.00390625" style="3" bestFit="1" customWidth="1"/>
    <col min="34" max="34" width="15.8515625" style="3" bestFit="1" customWidth="1"/>
    <col min="35" max="35" width="9.421875" style="0" bestFit="1" customWidth="1"/>
    <col min="36" max="36" width="14.8515625" style="0" customWidth="1"/>
    <col min="37" max="37" width="11.7109375" style="0" bestFit="1" customWidth="1"/>
    <col min="38" max="38" width="8.140625" style="0" bestFit="1" customWidth="1"/>
    <col min="39" max="39" width="11.28125" style="0" bestFit="1" customWidth="1"/>
    <col min="40" max="40" width="11.57421875" style="0" bestFit="1" customWidth="1"/>
    <col min="41" max="41" width="17.7109375" style="0" bestFit="1" customWidth="1"/>
    <col min="42" max="42" width="8.140625" style="0" bestFit="1" customWidth="1"/>
    <col min="43" max="43" width="9.7109375" style="0" bestFit="1" customWidth="1"/>
    <col min="44" max="44" width="8.421875" style="0" bestFit="1" customWidth="1"/>
    <col min="45" max="46" width="14.57421875" style="0" bestFit="1" customWidth="1"/>
    <col min="47" max="47" width="9.00390625" style="0" bestFit="1" customWidth="1"/>
    <col min="48" max="48" width="18.28125" style="0" bestFit="1" customWidth="1"/>
    <col min="49" max="49" width="22.57421875" style="0" bestFit="1" customWidth="1"/>
    <col min="50" max="50" width="18.28125" style="0" bestFit="1" customWidth="1"/>
    <col min="51" max="51" width="22.57421875" style="0" bestFit="1" customWidth="1"/>
    <col min="52" max="52" width="18.28125" style="0" bestFit="1" customWidth="1"/>
    <col min="53" max="53" width="22.57421875" style="0" bestFit="1" customWidth="1"/>
    <col min="54" max="54" width="17.28125" style="0" bestFit="1" customWidth="1"/>
    <col min="55" max="55" width="20.57421875" style="0" bestFit="1" customWidth="1"/>
    <col min="56" max="56" width="16.140625" style="0" bestFit="1" customWidth="1"/>
    <col min="57" max="57" width="20.28125" style="0" bestFit="1" customWidth="1"/>
    <col min="58" max="58" width="22.140625" style="0" bestFit="1" customWidth="1"/>
    <col min="59" max="59" width="20.28125" style="0" bestFit="1" customWidth="1"/>
    <col min="60" max="60" width="22.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216</v>
      </c>
      <c r="AE2" s="13" t="s">
        <v>217</v>
      </c>
      <c r="AF2" s="13" t="s">
        <v>197</v>
      </c>
      <c r="AG2" s="13" t="s">
        <v>198</v>
      </c>
      <c r="AH2" s="13" t="s">
        <v>199</v>
      </c>
      <c r="AI2" s="13" t="s">
        <v>218</v>
      </c>
      <c r="AJ2" s="13" t="s">
        <v>219</v>
      </c>
      <c r="AK2" s="13" t="s">
        <v>220</v>
      </c>
      <c r="AL2" s="13" t="s">
        <v>221</v>
      </c>
      <c r="AM2" s="13" t="s">
        <v>222</v>
      </c>
      <c r="AN2" s="13" t="s">
        <v>223</v>
      </c>
      <c r="AO2" s="13" t="s">
        <v>224</v>
      </c>
      <c r="AP2" s="13" t="s">
        <v>225</v>
      </c>
      <c r="AQ2" s="13" t="s">
        <v>226</v>
      </c>
      <c r="AR2" s="13" t="s">
        <v>227</v>
      </c>
      <c r="AS2" s="13" t="s">
        <v>228</v>
      </c>
      <c r="AT2" s="13" t="s">
        <v>229</v>
      </c>
      <c r="AU2" s="13" t="s">
        <v>270</v>
      </c>
      <c r="AV2" s="116" t="s">
        <v>342</v>
      </c>
      <c r="AW2" s="116" t="s">
        <v>343</v>
      </c>
      <c r="AX2" s="116" t="s">
        <v>344</v>
      </c>
      <c r="AY2" s="116" t="s">
        <v>345</v>
      </c>
      <c r="AZ2" s="116" t="s">
        <v>346</v>
      </c>
      <c r="BA2" s="116" t="s">
        <v>347</v>
      </c>
      <c r="BB2" s="116" t="s">
        <v>348</v>
      </c>
      <c r="BC2" s="116" t="s">
        <v>349</v>
      </c>
      <c r="BD2" s="116" t="s">
        <v>351</v>
      </c>
      <c r="BE2" s="116" t="s">
        <v>421</v>
      </c>
      <c r="BF2" s="116" t="s">
        <v>422</v>
      </c>
      <c r="BG2" s="116" t="s">
        <v>423</v>
      </c>
      <c r="BH2" s="116" t="s">
        <v>424</v>
      </c>
      <c r="BI2" s="3"/>
      <c r="BJ2" s="3"/>
    </row>
    <row r="3" spans="1:62" ht="15" customHeight="1">
      <c r="A3" s="65" t="s">
        <v>448</v>
      </c>
      <c r="B3" s="66"/>
      <c r="C3" s="66"/>
      <c r="D3" s="67">
        <v>733.3333333333334</v>
      </c>
      <c r="E3" s="69"/>
      <c r="F3" s="98" t="str">
        <f>HYPERLINK("https://yt3.ggpht.com/a/AATXAJxMDrBznQ_XPKi3fZh2ryOVy6ak61IyuhYbU7fctA=s88-c-k-c0xffffffff-no-rj-mo")</f>
        <v>https://yt3.ggpht.com/a/AATXAJxMDrBznQ_XPKi3fZh2ryOVy6ak61IyuhYbU7fctA=s88-c-k-c0xffffffff-no-rj-mo</v>
      </c>
      <c r="G3" s="66"/>
      <c r="H3" s="70" t="s">
        <v>910</v>
      </c>
      <c r="I3" s="71"/>
      <c r="J3" s="71"/>
      <c r="K3" s="70" t="s">
        <v>910</v>
      </c>
      <c r="L3" s="74">
        <v>646.0322580645161</v>
      </c>
      <c r="M3" s="75">
        <v>6927.49853515625</v>
      </c>
      <c r="N3" s="75">
        <v>1446.1363525390625</v>
      </c>
      <c r="O3" s="76"/>
      <c r="P3" s="77"/>
      <c r="Q3" s="77"/>
      <c r="R3" s="48"/>
      <c r="S3" s="48">
        <v>2</v>
      </c>
      <c r="T3" s="48">
        <v>2</v>
      </c>
      <c r="U3" s="49">
        <v>2</v>
      </c>
      <c r="V3" s="49">
        <v>0.5</v>
      </c>
      <c r="W3" s="49">
        <v>0</v>
      </c>
      <c r="X3" s="49">
        <v>1.459455</v>
      </c>
      <c r="Y3" s="49">
        <v>0</v>
      </c>
      <c r="Z3" s="49">
        <v>1</v>
      </c>
      <c r="AA3" s="72">
        <v>3</v>
      </c>
      <c r="AB3" s="72"/>
      <c r="AC3" s="73"/>
      <c r="AD3" s="79" t="s">
        <v>910</v>
      </c>
      <c r="AE3" s="79" t="s">
        <v>1396</v>
      </c>
      <c r="AF3" s="79"/>
      <c r="AG3" s="79"/>
      <c r="AH3" s="79"/>
      <c r="AI3" s="79" t="s">
        <v>1448</v>
      </c>
      <c r="AJ3" s="83">
        <v>42209.06350694445</v>
      </c>
      <c r="AK3" s="81" t="str">
        <f>HYPERLINK("https://yt3.ggpht.com/a/AATXAJxMDrBznQ_XPKi3fZh2ryOVy6ak61IyuhYbU7fctA=s88-c-k-c0xffffffff-no-rj-mo")</f>
        <v>https://yt3.ggpht.com/a/AATXAJxMDrBznQ_XPKi3fZh2ryOVy6ak61IyuhYbU7fctA=s88-c-k-c0xffffffff-no-rj-mo</v>
      </c>
      <c r="AL3" s="79">
        <v>6863998</v>
      </c>
      <c r="AM3" s="79">
        <v>0</v>
      </c>
      <c r="AN3" s="79">
        <v>120000</v>
      </c>
      <c r="AO3" s="79" t="b">
        <v>0</v>
      </c>
      <c r="AP3" s="79">
        <v>400</v>
      </c>
      <c r="AQ3" s="79"/>
      <c r="AR3" s="79"/>
      <c r="AS3" s="79" t="s">
        <v>230</v>
      </c>
      <c r="AT3" s="81" t="str">
        <f>HYPERLINK("https://www.youtube.com/channel/UCusu-y_cy_0fXxOwCTmELqw")</f>
        <v>https://www.youtube.com/channel/UCusu-y_cy_0fXxOwCTmELqw</v>
      </c>
      <c r="AU3" s="79" t="str">
        <f>REPLACE(INDEX(GroupVertices[Group],MATCH(Vertices[[#This Row],[Vertex]],GroupVertices[Vertex],0)),1,1,"")</f>
        <v>23</v>
      </c>
      <c r="AV3" s="48">
        <v>1</v>
      </c>
      <c r="AW3" s="49">
        <v>2.3255813953488373</v>
      </c>
      <c r="AX3" s="48">
        <v>0</v>
      </c>
      <c r="AY3" s="49">
        <v>0</v>
      </c>
      <c r="AZ3" s="48">
        <v>0</v>
      </c>
      <c r="BA3" s="49">
        <v>0</v>
      </c>
      <c r="BB3" s="48">
        <v>42</v>
      </c>
      <c r="BC3" s="49">
        <v>97.67441860465117</v>
      </c>
      <c r="BD3" s="48">
        <v>43</v>
      </c>
      <c r="BE3" s="120" t="s">
        <v>408</v>
      </c>
      <c r="BF3" s="120" t="s">
        <v>408</v>
      </c>
      <c r="BG3" s="120" t="s">
        <v>408</v>
      </c>
      <c r="BH3" s="120" t="s">
        <v>408</v>
      </c>
      <c r="BI3" s="3"/>
      <c r="BJ3" s="3"/>
    </row>
    <row r="4" spans="1:65" ht="15">
      <c r="A4" s="65" t="s">
        <v>447</v>
      </c>
      <c r="B4" s="66"/>
      <c r="C4" s="66"/>
      <c r="D4" s="67">
        <v>466.6666666666667</v>
      </c>
      <c r="E4" s="127"/>
      <c r="F4" s="98" t="str">
        <f>HYPERLINK("https://yt3.ggpht.com/a/AATXAJyiBC5XUOJ3-z9rZxkeXgj0b3c5Gb5TiJeYbg=s88-c-k-c0xffffffff-no-rj-mo")</f>
        <v>https://yt3.ggpht.com/a/AATXAJyiBC5XUOJ3-z9rZxkeXgj0b3c5Gb5TiJeYbg=s88-c-k-c0xffffffff-no-rj-mo</v>
      </c>
      <c r="G4" s="128"/>
      <c r="H4" s="70" t="s">
        <v>909</v>
      </c>
      <c r="I4" s="71"/>
      <c r="J4" s="129"/>
      <c r="K4" s="70" t="s">
        <v>909</v>
      </c>
      <c r="L4" s="130">
        <v>323.51612903225805</v>
      </c>
      <c r="M4" s="75">
        <v>7264.34423828125</v>
      </c>
      <c r="N4" s="75">
        <v>1790.454345703125</v>
      </c>
      <c r="O4" s="76"/>
      <c r="P4" s="77"/>
      <c r="Q4" s="77"/>
      <c r="R4" s="131"/>
      <c r="S4" s="48">
        <v>1</v>
      </c>
      <c r="T4" s="48">
        <v>1</v>
      </c>
      <c r="U4" s="49">
        <v>0</v>
      </c>
      <c r="V4" s="49">
        <v>0.333333</v>
      </c>
      <c r="W4" s="49">
        <v>0</v>
      </c>
      <c r="X4" s="49">
        <v>0.770268</v>
      </c>
      <c r="Y4" s="49">
        <v>0</v>
      </c>
      <c r="Z4" s="49">
        <v>1</v>
      </c>
      <c r="AA4" s="72">
        <v>4</v>
      </c>
      <c r="AB4" s="72"/>
      <c r="AC4" s="73"/>
      <c r="AD4" s="80" t="s">
        <v>909</v>
      </c>
      <c r="AE4" s="80"/>
      <c r="AF4" s="80"/>
      <c r="AG4" s="80"/>
      <c r="AH4" s="80"/>
      <c r="AI4" s="80"/>
      <c r="AJ4" s="84">
        <v>40469.88365740741</v>
      </c>
      <c r="AK4" s="82" t="str">
        <f>HYPERLINK("https://yt3.ggpht.com/a/AATXAJyiBC5XUOJ3-z9rZxkeXgj0b3c5Gb5TiJeYbg=s88-c-k-c0xffffffff-no-rj-mo")</f>
        <v>https://yt3.ggpht.com/a/AATXAJyiBC5XUOJ3-z9rZxkeXgj0b3c5Gb5TiJeYbg=s88-c-k-c0xffffffff-no-rj-mo</v>
      </c>
      <c r="AL4" s="80">
        <v>99</v>
      </c>
      <c r="AM4" s="80">
        <v>0</v>
      </c>
      <c r="AN4" s="80">
        <v>2</v>
      </c>
      <c r="AO4" s="80" t="b">
        <v>0</v>
      </c>
      <c r="AP4" s="80">
        <v>3</v>
      </c>
      <c r="AQ4" s="80"/>
      <c r="AR4" s="80"/>
      <c r="AS4" s="80" t="s">
        <v>230</v>
      </c>
      <c r="AT4" s="82" t="str">
        <f>HYPERLINK("https://www.youtube.com/channel/UCKWPSdZrvYUribmNP8ciY-g")</f>
        <v>https://www.youtube.com/channel/UCKWPSdZrvYUribmNP8ciY-g</v>
      </c>
      <c r="AU4" s="79" t="str">
        <f>REPLACE(INDEX(GroupVertices[Group],MATCH(Vertices[[#This Row],[Vertex]],GroupVertices[Vertex],0)),1,1,"")</f>
        <v>23</v>
      </c>
      <c r="AV4" s="48"/>
      <c r="AW4" s="49"/>
      <c r="AX4" s="48"/>
      <c r="AY4" s="49"/>
      <c r="AZ4" s="48"/>
      <c r="BA4" s="49"/>
      <c r="BB4" s="48"/>
      <c r="BC4" s="49"/>
      <c r="BD4" s="48"/>
      <c r="BE4" s="120" t="s">
        <v>408</v>
      </c>
      <c r="BF4" s="120" t="s">
        <v>408</v>
      </c>
      <c r="BG4" s="120" t="s">
        <v>408</v>
      </c>
      <c r="BH4" s="120" t="s">
        <v>408</v>
      </c>
      <c r="BI4" s="2"/>
      <c r="BJ4" s="3"/>
      <c r="BK4" s="3"/>
      <c r="BL4" s="3"/>
      <c r="BM4" s="3"/>
    </row>
    <row r="5" spans="1:65" ht="15">
      <c r="A5" s="65" t="s">
        <v>449</v>
      </c>
      <c r="B5" s="66"/>
      <c r="C5" s="66"/>
      <c r="D5" s="67">
        <v>466.6666666666667</v>
      </c>
      <c r="E5" s="127"/>
      <c r="F5" s="98" t="str">
        <f>HYPERLINK("https://yt3.ggpht.com/a/AATXAJw0UGgfzKWMEpaXqQBmjVvzsLos1uJGCsgl2A=s88-c-k-c0xffffffff-no-rj-mo")</f>
        <v>https://yt3.ggpht.com/a/AATXAJw0UGgfzKWMEpaXqQBmjVvzsLos1uJGCsgl2A=s88-c-k-c0xffffffff-no-rj-mo</v>
      </c>
      <c r="G5" s="128"/>
      <c r="H5" s="70" t="s">
        <v>911</v>
      </c>
      <c r="I5" s="71"/>
      <c r="J5" s="129"/>
      <c r="K5" s="70" t="s">
        <v>911</v>
      </c>
      <c r="L5" s="130">
        <v>323.51612903225805</v>
      </c>
      <c r="M5" s="75">
        <v>7938.0361328125</v>
      </c>
      <c r="N5" s="75">
        <v>2479.0908203125</v>
      </c>
      <c r="O5" s="76"/>
      <c r="P5" s="77"/>
      <c r="Q5" s="77"/>
      <c r="R5" s="131"/>
      <c r="S5" s="48">
        <v>1</v>
      </c>
      <c r="T5" s="48">
        <v>1</v>
      </c>
      <c r="U5" s="49">
        <v>0</v>
      </c>
      <c r="V5" s="49">
        <v>0.333333</v>
      </c>
      <c r="W5" s="49">
        <v>0</v>
      </c>
      <c r="X5" s="49">
        <v>0.770268</v>
      </c>
      <c r="Y5" s="49">
        <v>0</v>
      </c>
      <c r="Z5" s="49">
        <v>1</v>
      </c>
      <c r="AA5" s="72">
        <v>5</v>
      </c>
      <c r="AB5" s="72"/>
      <c r="AC5" s="73"/>
      <c r="AD5" s="80" t="s">
        <v>911</v>
      </c>
      <c r="AE5" s="80"/>
      <c r="AF5" s="80"/>
      <c r="AG5" s="80"/>
      <c r="AH5" s="80"/>
      <c r="AI5" s="80"/>
      <c r="AJ5" s="84">
        <v>42281.35775462963</v>
      </c>
      <c r="AK5" s="82" t="str">
        <f>HYPERLINK("https://yt3.ggpht.com/a/AATXAJw0UGgfzKWMEpaXqQBmjVvzsLos1uJGCsgl2A=s88-c-k-c0xffffffff-no-rj-mo")</f>
        <v>https://yt3.ggpht.com/a/AATXAJw0UGgfzKWMEpaXqQBmjVvzsLos1uJGCsgl2A=s88-c-k-c0xffffffff-no-rj-mo</v>
      </c>
      <c r="AL5" s="80">
        <v>0</v>
      </c>
      <c r="AM5" s="80">
        <v>0</v>
      </c>
      <c r="AN5" s="80">
        <v>0</v>
      </c>
      <c r="AO5" s="80" t="b">
        <v>0</v>
      </c>
      <c r="AP5" s="80">
        <v>0</v>
      </c>
      <c r="AQ5" s="80"/>
      <c r="AR5" s="80"/>
      <c r="AS5" s="80" t="s">
        <v>230</v>
      </c>
      <c r="AT5" s="82" t="str">
        <f>HYPERLINK("https://www.youtube.com/channel/UCOByKzOYpe3HPPY24BgVQ5g")</f>
        <v>https://www.youtube.com/channel/UCOByKzOYpe3HPPY24BgVQ5g</v>
      </c>
      <c r="AU5" s="79" t="str">
        <f>REPLACE(INDEX(GroupVertices[Group],MATCH(Vertices[[#This Row],[Vertex]],GroupVertices[Vertex],0)),1,1,"")</f>
        <v>23</v>
      </c>
      <c r="AV5" s="48"/>
      <c r="AW5" s="49"/>
      <c r="AX5" s="48"/>
      <c r="AY5" s="49"/>
      <c r="AZ5" s="48"/>
      <c r="BA5" s="49"/>
      <c r="BB5" s="48"/>
      <c r="BC5" s="49"/>
      <c r="BD5" s="48"/>
      <c r="BE5" s="120" t="s">
        <v>408</v>
      </c>
      <c r="BF5" s="120" t="s">
        <v>408</v>
      </c>
      <c r="BG5" s="120" t="s">
        <v>408</v>
      </c>
      <c r="BH5" s="120" t="s">
        <v>408</v>
      </c>
      <c r="BI5" s="2"/>
      <c r="BJ5" s="3"/>
      <c r="BK5" s="3"/>
      <c r="BL5" s="3"/>
      <c r="BM5" s="3"/>
    </row>
    <row r="6" spans="1:65" ht="15">
      <c r="A6" s="65" t="s">
        <v>450</v>
      </c>
      <c r="B6" s="66"/>
      <c r="C6" s="66"/>
      <c r="D6" s="67">
        <v>466.6666666666667</v>
      </c>
      <c r="E6" s="127"/>
      <c r="F6" s="98" t="str">
        <f>HYPERLINK("https://yt3.ggpht.com/a/AATXAJwIj2s8mxP14fQ6iN2hCXMhNakSV2G-l7gx-g=s88-c-k-c0xffffffff-no-rj-mo")</f>
        <v>https://yt3.ggpht.com/a/AATXAJwIj2s8mxP14fQ6iN2hCXMhNakSV2G-l7gx-g=s88-c-k-c0xffffffff-no-rj-mo</v>
      </c>
      <c r="G6" s="128"/>
      <c r="H6" s="70" t="s">
        <v>912</v>
      </c>
      <c r="I6" s="71"/>
      <c r="J6" s="129"/>
      <c r="K6" s="70" t="s">
        <v>912</v>
      </c>
      <c r="L6" s="130">
        <v>323.51612903225805</v>
      </c>
      <c r="M6" s="75">
        <v>8779.0419921875</v>
      </c>
      <c r="N6" s="75">
        <v>547.4658813476562</v>
      </c>
      <c r="O6" s="76"/>
      <c r="P6" s="77"/>
      <c r="Q6" s="77"/>
      <c r="R6" s="131"/>
      <c r="S6" s="48">
        <v>1</v>
      </c>
      <c r="T6" s="48">
        <v>2</v>
      </c>
      <c r="U6" s="49">
        <v>0</v>
      </c>
      <c r="V6" s="49">
        <v>1</v>
      </c>
      <c r="W6" s="49">
        <v>0</v>
      </c>
      <c r="X6" s="49">
        <v>1.298241</v>
      </c>
      <c r="Y6" s="49">
        <v>0</v>
      </c>
      <c r="Z6" s="49">
        <v>0</v>
      </c>
      <c r="AA6" s="72">
        <v>6</v>
      </c>
      <c r="AB6" s="72"/>
      <c r="AC6" s="73"/>
      <c r="AD6" s="80" t="s">
        <v>912</v>
      </c>
      <c r="AE6" s="80" t="s">
        <v>1336</v>
      </c>
      <c r="AF6" s="80"/>
      <c r="AG6" s="80"/>
      <c r="AH6" s="80"/>
      <c r="AI6" s="80"/>
      <c r="AJ6" s="84">
        <v>42619.37725694444</v>
      </c>
      <c r="AK6" s="82" t="str">
        <f>HYPERLINK("https://yt3.ggpht.com/a/AATXAJwIj2s8mxP14fQ6iN2hCXMhNakSV2G-l7gx-g=s88-c-k-c0xffffffff-no-rj-mo")</f>
        <v>https://yt3.ggpht.com/a/AATXAJwIj2s8mxP14fQ6iN2hCXMhNakSV2G-l7gx-g=s88-c-k-c0xffffffff-no-rj-mo</v>
      </c>
      <c r="AL6" s="80">
        <v>6413</v>
      </c>
      <c r="AM6" s="80">
        <v>0</v>
      </c>
      <c r="AN6" s="80">
        <v>1720</v>
      </c>
      <c r="AO6" s="80" t="b">
        <v>0</v>
      </c>
      <c r="AP6" s="80">
        <v>18</v>
      </c>
      <c r="AQ6" s="80"/>
      <c r="AR6" s="80"/>
      <c r="AS6" s="80" t="s">
        <v>230</v>
      </c>
      <c r="AT6" s="82" t="str">
        <f>HYPERLINK("https://www.youtube.com/channel/UCN1NTRS4mHArmIuhpnCqXOw")</f>
        <v>https://www.youtube.com/channel/UCN1NTRS4mHArmIuhpnCqXOw</v>
      </c>
      <c r="AU6" s="79" t="str">
        <f>REPLACE(INDEX(GroupVertices[Group],MATCH(Vertices[[#This Row],[Vertex]],GroupVertices[Vertex],0)),1,1,"")</f>
        <v>26</v>
      </c>
      <c r="AV6" s="48">
        <v>0</v>
      </c>
      <c r="AW6" s="49">
        <v>0</v>
      </c>
      <c r="AX6" s="48">
        <v>0</v>
      </c>
      <c r="AY6" s="49">
        <v>0</v>
      </c>
      <c r="AZ6" s="48">
        <v>0</v>
      </c>
      <c r="BA6" s="49">
        <v>0</v>
      </c>
      <c r="BB6" s="48">
        <v>5</v>
      </c>
      <c r="BC6" s="49">
        <v>100</v>
      </c>
      <c r="BD6" s="48">
        <v>5</v>
      </c>
      <c r="BE6" s="120" t="s">
        <v>408</v>
      </c>
      <c r="BF6" s="120" t="s">
        <v>408</v>
      </c>
      <c r="BG6" s="120" t="s">
        <v>408</v>
      </c>
      <c r="BH6" s="120" t="s">
        <v>408</v>
      </c>
      <c r="BI6" s="2"/>
      <c r="BJ6" s="3"/>
      <c r="BK6" s="3"/>
      <c r="BL6" s="3"/>
      <c r="BM6" s="3"/>
    </row>
    <row r="7" spans="1:65" ht="15">
      <c r="A7" s="65" t="s">
        <v>611</v>
      </c>
      <c r="B7" s="66"/>
      <c r="C7" s="66"/>
      <c r="D7" s="67">
        <v>466.6666666666667</v>
      </c>
      <c r="E7" s="127"/>
      <c r="F7" s="98" t="str">
        <f>HYPERLINK("https://yt3.ggpht.com/a/AATXAJxkDmusuUIWP_NPAiShqfLaqFaf88LApL3A6w=s88-c-k-c0xffffffff-no-rj-mo")</f>
        <v>https://yt3.ggpht.com/a/AATXAJxkDmusuUIWP_NPAiShqfLaqFaf88LApL3A6w=s88-c-k-c0xffffffff-no-rj-mo</v>
      </c>
      <c r="G7" s="128"/>
      <c r="H7" s="70" t="s">
        <v>1298</v>
      </c>
      <c r="I7" s="71"/>
      <c r="J7" s="129"/>
      <c r="K7" s="70" t="s">
        <v>1298</v>
      </c>
      <c r="L7" s="130">
        <v>323.51612903225805</v>
      </c>
      <c r="M7" s="75">
        <v>8307.0146484375</v>
      </c>
      <c r="N7" s="75">
        <v>547.4658813476562</v>
      </c>
      <c r="O7" s="76"/>
      <c r="P7" s="77"/>
      <c r="Q7" s="77"/>
      <c r="R7" s="131"/>
      <c r="S7" s="48">
        <v>1</v>
      </c>
      <c r="T7" s="48">
        <v>0</v>
      </c>
      <c r="U7" s="49">
        <v>0</v>
      </c>
      <c r="V7" s="49">
        <v>1</v>
      </c>
      <c r="W7" s="49">
        <v>0</v>
      </c>
      <c r="X7" s="49">
        <v>0.701752</v>
      </c>
      <c r="Y7" s="49">
        <v>0</v>
      </c>
      <c r="Z7" s="49">
        <v>0</v>
      </c>
      <c r="AA7" s="72">
        <v>7</v>
      </c>
      <c r="AB7" s="72"/>
      <c r="AC7" s="73"/>
      <c r="AD7" s="80" t="s">
        <v>1298</v>
      </c>
      <c r="AE7" s="80"/>
      <c r="AF7" s="80"/>
      <c r="AG7" s="80"/>
      <c r="AH7" s="80"/>
      <c r="AI7" s="80"/>
      <c r="AJ7" s="84">
        <v>43996.86199074074</v>
      </c>
      <c r="AK7" s="82" t="str">
        <f>HYPERLINK("https://yt3.ggpht.com/a/AATXAJxkDmusuUIWP_NPAiShqfLaqFaf88LApL3A6w=s88-c-k-c0xffffffff-no-rj-mo")</f>
        <v>https://yt3.ggpht.com/a/AATXAJxkDmusuUIWP_NPAiShqfLaqFaf88LApL3A6w=s88-c-k-c0xffffffff-no-rj-mo</v>
      </c>
      <c r="AL7" s="80">
        <v>1270</v>
      </c>
      <c r="AM7" s="80">
        <v>0</v>
      </c>
      <c r="AN7" s="80">
        <v>412</v>
      </c>
      <c r="AO7" s="80" t="b">
        <v>0</v>
      </c>
      <c r="AP7" s="80">
        <v>8</v>
      </c>
      <c r="AQ7" s="80"/>
      <c r="AR7" s="80"/>
      <c r="AS7" s="80" t="s">
        <v>230</v>
      </c>
      <c r="AT7" s="82" t="str">
        <f>HYPERLINK("https://www.youtube.com/channel/UCvIr-n9Azj1msNnHekgsOyA")</f>
        <v>https://www.youtube.com/channel/UCvIr-n9Azj1msNnHekgsOyA</v>
      </c>
      <c r="AU7" s="79" t="str">
        <f>REPLACE(INDEX(GroupVertices[Group],MATCH(Vertices[[#This Row],[Vertex]],GroupVertices[Vertex],0)),1,1,"")</f>
        <v>26</v>
      </c>
      <c r="AV7" s="48"/>
      <c r="AW7" s="49"/>
      <c r="AX7" s="48"/>
      <c r="AY7" s="49"/>
      <c r="AZ7" s="48"/>
      <c r="BA7" s="49"/>
      <c r="BB7" s="48"/>
      <c r="BC7" s="49"/>
      <c r="BD7" s="48"/>
      <c r="BE7" s="48"/>
      <c r="BF7" s="48"/>
      <c r="BG7" s="48"/>
      <c r="BH7" s="48"/>
      <c r="BI7" s="2"/>
      <c r="BJ7" s="3"/>
      <c r="BK7" s="3"/>
      <c r="BL7" s="3"/>
      <c r="BM7" s="3"/>
    </row>
    <row r="8" spans="1:65" ht="15">
      <c r="A8" s="65" t="s">
        <v>451</v>
      </c>
      <c r="B8" s="66"/>
      <c r="C8" s="66"/>
      <c r="D8" s="67">
        <v>1000</v>
      </c>
      <c r="E8" s="127"/>
      <c r="F8" s="98" t="str">
        <f>HYPERLINK("https://yt3.ggpht.com/a/AATXAJySs2KFWp5AKCU6u4lXhRtoxcX0I77HokfYkw=s88-c-k-c0xffffffff-no-rj-mo")</f>
        <v>https://yt3.ggpht.com/a/AATXAJySs2KFWp5AKCU6u4lXhRtoxcX0I77HokfYkw=s88-c-k-c0xffffffff-no-rj-mo</v>
      </c>
      <c r="G8" s="128"/>
      <c r="H8" s="70" t="s">
        <v>913</v>
      </c>
      <c r="I8" s="71"/>
      <c r="J8" s="129"/>
      <c r="K8" s="70" t="s">
        <v>913</v>
      </c>
      <c r="L8" s="130">
        <v>2258.6129032258063</v>
      </c>
      <c r="M8" s="75">
        <v>4380.33935546875</v>
      </c>
      <c r="N8" s="75">
        <v>1490.2840576171875</v>
      </c>
      <c r="O8" s="76"/>
      <c r="P8" s="77"/>
      <c r="Q8" s="77"/>
      <c r="R8" s="131"/>
      <c r="S8" s="48">
        <v>7</v>
      </c>
      <c r="T8" s="48">
        <v>5</v>
      </c>
      <c r="U8" s="49">
        <v>66</v>
      </c>
      <c r="V8" s="49">
        <v>0.090909</v>
      </c>
      <c r="W8" s="49">
        <v>0</v>
      </c>
      <c r="X8" s="49">
        <v>2.961697</v>
      </c>
      <c r="Y8" s="49">
        <v>0.023809523809523808</v>
      </c>
      <c r="Z8" s="49">
        <v>0.7142857142857143</v>
      </c>
      <c r="AA8" s="72">
        <v>8</v>
      </c>
      <c r="AB8" s="72"/>
      <c r="AC8" s="73"/>
      <c r="AD8" s="80" t="s">
        <v>913</v>
      </c>
      <c r="AE8" s="80" t="s">
        <v>1337</v>
      </c>
      <c r="AF8" s="80"/>
      <c r="AG8" s="80"/>
      <c r="AH8" s="80"/>
      <c r="AI8" s="80" t="s">
        <v>1397</v>
      </c>
      <c r="AJ8" s="84">
        <v>43134.71685185185</v>
      </c>
      <c r="AK8" s="82" t="str">
        <f>HYPERLINK("https://yt3.ggpht.com/a/AATXAJySs2KFWp5AKCU6u4lXhRtoxcX0I77HokfYkw=s88-c-k-c0xffffffff-no-rj-mo")</f>
        <v>https://yt3.ggpht.com/a/AATXAJySs2KFWp5AKCU6u4lXhRtoxcX0I77HokfYkw=s88-c-k-c0xffffffff-no-rj-mo</v>
      </c>
      <c r="AL8" s="80">
        <v>1950435</v>
      </c>
      <c r="AM8" s="80">
        <v>0</v>
      </c>
      <c r="AN8" s="80">
        <v>21800</v>
      </c>
      <c r="AO8" s="80" t="b">
        <v>0</v>
      </c>
      <c r="AP8" s="80">
        <v>138</v>
      </c>
      <c r="AQ8" s="80"/>
      <c r="AR8" s="80"/>
      <c r="AS8" s="80" t="s">
        <v>230</v>
      </c>
      <c r="AT8" s="82" t="str">
        <f>HYPERLINK("https://www.youtube.com/channel/UC-h-wArcxJC8zBOD-UxfCOg")</f>
        <v>https://www.youtube.com/channel/UC-h-wArcxJC8zBOD-UxfCOg</v>
      </c>
      <c r="AU8" s="79" t="str">
        <f>REPLACE(INDEX(GroupVertices[Group],MATCH(Vertices[[#This Row],[Vertex]],GroupVertices[Vertex],0)),1,1,"")</f>
        <v>5</v>
      </c>
      <c r="AV8" s="48">
        <v>2</v>
      </c>
      <c r="AW8" s="49">
        <v>2.4096385542168677</v>
      </c>
      <c r="AX8" s="48">
        <v>0</v>
      </c>
      <c r="AY8" s="49">
        <v>0</v>
      </c>
      <c r="AZ8" s="48">
        <v>0</v>
      </c>
      <c r="BA8" s="49">
        <v>0</v>
      </c>
      <c r="BB8" s="48">
        <v>81</v>
      </c>
      <c r="BC8" s="49">
        <v>97.59036144578313</v>
      </c>
      <c r="BD8" s="48">
        <v>83</v>
      </c>
      <c r="BE8" s="120" t="s">
        <v>408</v>
      </c>
      <c r="BF8" s="120" t="s">
        <v>408</v>
      </c>
      <c r="BG8" s="120" t="s">
        <v>408</v>
      </c>
      <c r="BH8" s="120" t="s">
        <v>408</v>
      </c>
      <c r="BI8" s="2"/>
      <c r="BJ8" s="3"/>
      <c r="BK8" s="3"/>
      <c r="BL8" s="3"/>
      <c r="BM8" s="3"/>
    </row>
    <row r="9" spans="1:65" ht="15">
      <c r="A9" s="65" t="s">
        <v>452</v>
      </c>
      <c r="B9" s="66"/>
      <c r="C9" s="66"/>
      <c r="D9" s="67">
        <v>466.6666666666667</v>
      </c>
      <c r="E9" s="127"/>
      <c r="F9" s="98" t="str">
        <f>HYPERLINK("https://yt3.ggpht.com/a/AATXAJwu2n5Phh9hn72YP8hqNh_9FZHSaKSP4mg4oA=s88-c-k-c0xffffffff-no-rj-mo")</f>
        <v>https://yt3.ggpht.com/a/AATXAJwu2n5Phh9hn72YP8hqNh_9FZHSaKSP4mg4oA=s88-c-k-c0xffffffff-no-rj-mo</v>
      </c>
      <c r="G9" s="128"/>
      <c r="H9" s="70" t="s">
        <v>914</v>
      </c>
      <c r="I9" s="71"/>
      <c r="J9" s="129"/>
      <c r="K9" s="70" t="s">
        <v>914</v>
      </c>
      <c r="L9" s="130">
        <v>323.51612903225805</v>
      </c>
      <c r="M9" s="75">
        <v>3896.890380859375</v>
      </c>
      <c r="N9" s="75">
        <v>1017.7338256835938</v>
      </c>
      <c r="O9" s="76"/>
      <c r="P9" s="77"/>
      <c r="Q9" s="77"/>
      <c r="R9" s="131"/>
      <c r="S9" s="48">
        <v>1</v>
      </c>
      <c r="T9" s="48">
        <v>1</v>
      </c>
      <c r="U9" s="49">
        <v>0</v>
      </c>
      <c r="V9" s="49">
        <v>0.052632</v>
      </c>
      <c r="W9" s="49">
        <v>0</v>
      </c>
      <c r="X9" s="49">
        <v>0.509634</v>
      </c>
      <c r="Y9" s="49">
        <v>0</v>
      </c>
      <c r="Z9" s="49">
        <v>1</v>
      </c>
      <c r="AA9" s="72">
        <v>9</v>
      </c>
      <c r="AB9" s="72"/>
      <c r="AC9" s="73"/>
      <c r="AD9" s="80" t="s">
        <v>914</v>
      </c>
      <c r="AE9" s="80"/>
      <c r="AF9" s="80"/>
      <c r="AG9" s="80"/>
      <c r="AH9" s="80"/>
      <c r="AI9" s="80"/>
      <c r="AJ9" s="84">
        <v>40671.7084375</v>
      </c>
      <c r="AK9" s="82" t="str">
        <f>HYPERLINK("https://yt3.ggpht.com/a/AATXAJwu2n5Phh9hn72YP8hqNh_9FZHSaKSP4mg4oA=s88-c-k-c0xffffffff-no-rj-mo")</f>
        <v>https://yt3.ggpht.com/a/AATXAJwu2n5Phh9hn72YP8hqNh_9FZHSaKSP4mg4oA=s88-c-k-c0xffffffff-no-rj-mo</v>
      </c>
      <c r="AL9" s="80">
        <v>391</v>
      </c>
      <c r="AM9" s="80">
        <v>0</v>
      </c>
      <c r="AN9" s="80">
        <v>2</v>
      </c>
      <c r="AO9" s="80" t="b">
        <v>0</v>
      </c>
      <c r="AP9" s="80">
        <v>8</v>
      </c>
      <c r="AQ9" s="80"/>
      <c r="AR9" s="80"/>
      <c r="AS9" s="80" t="s">
        <v>230</v>
      </c>
      <c r="AT9" s="82" t="str">
        <f>HYPERLINK("https://www.youtube.com/channel/UCgLtWv7Ck8aFPNISkPm5LsQ")</f>
        <v>https://www.youtube.com/channel/UCgLtWv7Ck8aFPNISkPm5LsQ</v>
      </c>
      <c r="AU9" s="79" t="str">
        <f>REPLACE(INDEX(GroupVertices[Group],MATCH(Vertices[[#This Row],[Vertex]],GroupVertices[Vertex],0)),1,1,"")</f>
        <v>5</v>
      </c>
      <c r="AV9" s="48"/>
      <c r="AW9" s="49"/>
      <c r="AX9" s="48"/>
      <c r="AY9" s="49"/>
      <c r="AZ9" s="48"/>
      <c r="BA9" s="49"/>
      <c r="BB9" s="48"/>
      <c r="BC9" s="49"/>
      <c r="BD9" s="48"/>
      <c r="BE9" s="120" t="s">
        <v>408</v>
      </c>
      <c r="BF9" s="120" t="s">
        <v>408</v>
      </c>
      <c r="BG9" s="120" t="s">
        <v>408</v>
      </c>
      <c r="BH9" s="120" t="s">
        <v>408</v>
      </c>
      <c r="BI9" s="2"/>
      <c r="BJ9" s="3"/>
      <c r="BK9" s="3"/>
      <c r="BL9" s="3"/>
      <c r="BM9" s="3"/>
    </row>
    <row r="10" spans="1:65" ht="15">
      <c r="A10" s="65" t="s">
        <v>453</v>
      </c>
      <c r="B10" s="66"/>
      <c r="C10" s="66"/>
      <c r="D10" s="67">
        <v>466.6666666666667</v>
      </c>
      <c r="E10" s="127"/>
      <c r="F10" s="98" t="str">
        <f>HYPERLINK("https://yt3.ggpht.com/a/AATXAJwJ4ppAH1e_Z5wbFeBAyDxHuaBA3q1gJFN-JQ=s88-c-k-c0xffffffff-no-rj-mo")</f>
        <v>https://yt3.ggpht.com/a/AATXAJwJ4ppAH1e_Z5wbFeBAyDxHuaBA3q1gJFN-JQ=s88-c-k-c0xffffffff-no-rj-mo</v>
      </c>
      <c r="G10" s="128"/>
      <c r="H10" s="70" t="s">
        <v>915</v>
      </c>
      <c r="I10" s="71"/>
      <c r="J10" s="129"/>
      <c r="K10" s="70" t="s">
        <v>915</v>
      </c>
      <c r="L10" s="130">
        <v>323.51612903225805</v>
      </c>
      <c r="M10" s="75">
        <v>3603.363037109375</v>
      </c>
      <c r="N10" s="75">
        <v>1438.502685546875</v>
      </c>
      <c r="O10" s="76"/>
      <c r="P10" s="77"/>
      <c r="Q10" s="77"/>
      <c r="R10" s="131"/>
      <c r="S10" s="48">
        <v>1</v>
      </c>
      <c r="T10" s="48">
        <v>1</v>
      </c>
      <c r="U10" s="49">
        <v>0</v>
      </c>
      <c r="V10" s="49">
        <v>0.052632</v>
      </c>
      <c r="W10" s="49">
        <v>0</v>
      </c>
      <c r="X10" s="49">
        <v>0.509634</v>
      </c>
      <c r="Y10" s="49">
        <v>0</v>
      </c>
      <c r="Z10" s="49">
        <v>1</v>
      </c>
      <c r="AA10" s="72">
        <v>10</v>
      </c>
      <c r="AB10" s="72"/>
      <c r="AC10" s="73"/>
      <c r="AD10" s="80" t="s">
        <v>915</v>
      </c>
      <c r="AE10" s="80"/>
      <c r="AF10" s="80"/>
      <c r="AG10" s="80"/>
      <c r="AH10" s="80"/>
      <c r="AI10" s="80"/>
      <c r="AJ10" s="84">
        <v>42875.57126157408</v>
      </c>
      <c r="AK10" s="82" t="str">
        <f>HYPERLINK("https://yt3.ggpht.com/a/AATXAJwJ4ppAH1e_Z5wbFeBAyDxHuaBA3q1gJFN-JQ=s88-c-k-c0xffffffff-no-rj-mo")</f>
        <v>https://yt3.ggpht.com/a/AATXAJwJ4ppAH1e_Z5wbFeBAyDxHuaBA3q1gJFN-JQ=s88-c-k-c0xffffffff-no-rj-mo</v>
      </c>
      <c r="AL10" s="80">
        <v>0</v>
      </c>
      <c r="AM10" s="80">
        <v>0</v>
      </c>
      <c r="AN10" s="80">
        <v>0</v>
      </c>
      <c r="AO10" s="80" t="b">
        <v>0</v>
      </c>
      <c r="AP10" s="80">
        <v>0</v>
      </c>
      <c r="AQ10" s="80"/>
      <c r="AR10" s="80"/>
      <c r="AS10" s="80" t="s">
        <v>230</v>
      </c>
      <c r="AT10" s="82" t="str">
        <f>HYPERLINK("https://www.youtube.com/channel/UCQ8FoQV00xTeNYeDUgbZQiA")</f>
        <v>https://www.youtube.com/channel/UCQ8FoQV00xTeNYeDUgbZQiA</v>
      </c>
      <c r="AU10" s="79" t="str">
        <f>REPLACE(INDEX(GroupVertices[Group],MATCH(Vertices[[#This Row],[Vertex]],GroupVertices[Vertex],0)),1,1,"")</f>
        <v>5</v>
      </c>
      <c r="AV10" s="48"/>
      <c r="AW10" s="49"/>
      <c r="AX10" s="48"/>
      <c r="AY10" s="49"/>
      <c r="AZ10" s="48"/>
      <c r="BA10" s="49"/>
      <c r="BB10" s="48"/>
      <c r="BC10" s="49"/>
      <c r="BD10" s="48"/>
      <c r="BE10" s="120" t="s">
        <v>408</v>
      </c>
      <c r="BF10" s="120" t="s">
        <v>408</v>
      </c>
      <c r="BG10" s="120" t="s">
        <v>408</v>
      </c>
      <c r="BH10" s="120" t="s">
        <v>408</v>
      </c>
      <c r="BI10" s="2"/>
      <c r="BJ10" s="3"/>
      <c r="BK10" s="3"/>
      <c r="BL10" s="3"/>
      <c r="BM10" s="3"/>
    </row>
    <row r="11" spans="1:65" ht="15">
      <c r="A11" s="65" t="s">
        <v>454</v>
      </c>
      <c r="B11" s="66"/>
      <c r="C11" s="66"/>
      <c r="D11" s="67">
        <v>200</v>
      </c>
      <c r="E11" s="127"/>
      <c r="F11" s="98" t="str">
        <f>HYPERLINK("https://yt3.ggpht.com/a/AATXAJyDyzPPiBiCv8guXWAGjlMYYlIZ7_hP6qxv-Q=s88-c-k-c0xffffffff-no-rj-mo")</f>
        <v>https://yt3.ggpht.com/a/AATXAJyDyzPPiBiCv8guXWAGjlMYYlIZ7_hP6qxv-Q=s88-c-k-c0xffffffff-no-rj-mo</v>
      </c>
      <c r="G11" s="128"/>
      <c r="H11" s="70" t="s">
        <v>916</v>
      </c>
      <c r="I11" s="71"/>
      <c r="J11" s="129"/>
      <c r="K11" s="70" t="s">
        <v>916</v>
      </c>
      <c r="L11" s="130">
        <v>1</v>
      </c>
      <c r="M11" s="75">
        <v>4800.953125</v>
      </c>
      <c r="N11" s="75">
        <v>247.90908813476562</v>
      </c>
      <c r="O11" s="76"/>
      <c r="P11" s="77"/>
      <c r="Q11" s="77"/>
      <c r="R11" s="131"/>
      <c r="S11" s="48">
        <v>0</v>
      </c>
      <c r="T11" s="48">
        <v>1</v>
      </c>
      <c r="U11" s="49">
        <v>0</v>
      </c>
      <c r="V11" s="49">
        <v>0.04</v>
      </c>
      <c r="W11" s="49">
        <v>0</v>
      </c>
      <c r="X11" s="49">
        <v>0.529379</v>
      </c>
      <c r="Y11" s="49">
        <v>0</v>
      </c>
      <c r="Z11" s="49">
        <v>0</v>
      </c>
      <c r="AA11" s="72">
        <v>11</v>
      </c>
      <c r="AB11" s="72"/>
      <c r="AC11" s="73"/>
      <c r="AD11" s="80" t="s">
        <v>916</v>
      </c>
      <c r="AE11" s="80"/>
      <c r="AF11" s="80"/>
      <c r="AG11" s="80"/>
      <c r="AH11" s="80"/>
      <c r="AI11" s="80"/>
      <c r="AJ11" s="84">
        <v>40709.95138888889</v>
      </c>
      <c r="AK11" s="82" t="str">
        <f>HYPERLINK("https://yt3.ggpht.com/a/AATXAJyDyzPPiBiCv8guXWAGjlMYYlIZ7_hP6qxv-Q=s88-c-k-c0xffffffff-no-rj-mo")</f>
        <v>https://yt3.ggpht.com/a/AATXAJyDyzPPiBiCv8guXWAGjlMYYlIZ7_hP6qxv-Q=s88-c-k-c0xffffffff-no-rj-mo</v>
      </c>
      <c r="AL11" s="80">
        <v>14734</v>
      </c>
      <c r="AM11" s="80">
        <v>0</v>
      </c>
      <c r="AN11" s="80">
        <v>21</v>
      </c>
      <c r="AO11" s="80" t="b">
        <v>0</v>
      </c>
      <c r="AP11" s="80">
        <v>26</v>
      </c>
      <c r="AQ11" s="80"/>
      <c r="AR11" s="80"/>
      <c r="AS11" s="80" t="s">
        <v>230</v>
      </c>
      <c r="AT11" s="82" t="str">
        <f>HYPERLINK("https://www.youtube.com/channel/UCMT2TLv-CAyCuGJygoza4yg")</f>
        <v>https://www.youtube.com/channel/UCMT2TLv-CAyCuGJygoza4yg</v>
      </c>
      <c r="AU11" s="79" t="str">
        <f>REPLACE(INDEX(GroupVertices[Group],MATCH(Vertices[[#This Row],[Vertex]],GroupVertices[Vertex],0)),1,1,"")</f>
        <v>5</v>
      </c>
      <c r="AV11" s="48"/>
      <c r="AW11" s="49"/>
      <c r="AX11" s="48"/>
      <c r="AY11" s="49"/>
      <c r="AZ11" s="48"/>
      <c r="BA11" s="49"/>
      <c r="BB11" s="48"/>
      <c r="BC11" s="49"/>
      <c r="BD11" s="48"/>
      <c r="BE11" s="120" t="s">
        <v>408</v>
      </c>
      <c r="BF11" s="120" t="s">
        <v>408</v>
      </c>
      <c r="BG11" s="120" t="s">
        <v>408</v>
      </c>
      <c r="BH11" s="120" t="s">
        <v>408</v>
      </c>
      <c r="BI11" s="2"/>
      <c r="BJ11" s="3"/>
      <c r="BK11" s="3"/>
      <c r="BL11" s="3"/>
      <c r="BM11" s="3"/>
    </row>
    <row r="12" spans="1:65" ht="15">
      <c r="A12" s="65" t="s">
        <v>455</v>
      </c>
      <c r="B12" s="66"/>
      <c r="C12" s="66"/>
      <c r="D12" s="67">
        <v>1000</v>
      </c>
      <c r="E12" s="127"/>
      <c r="F12" s="98" t="str">
        <f>HYPERLINK("https://yt3.ggpht.com/a/AATXAJw-PgJwjSwij-O0eCShTAwKsCE6P-Z4HWI13A=s88-c-k-c0xffffffff-no-rj-mo")</f>
        <v>https://yt3.ggpht.com/a/AATXAJw-PgJwjSwij-O0eCShTAwKsCE6P-Z4HWI13A=s88-c-k-c0xffffffff-no-rj-mo</v>
      </c>
      <c r="G12" s="128"/>
      <c r="H12" s="70" t="s">
        <v>917</v>
      </c>
      <c r="I12" s="71"/>
      <c r="J12" s="129"/>
      <c r="K12" s="70" t="s">
        <v>917</v>
      </c>
      <c r="L12" s="130">
        <v>968.5483870967741</v>
      </c>
      <c r="M12" s="75">
        <v>4601.95849609375</v>
      </c>
      <c r="N12" s="75">
        <v>819.2715454101562</v>
      </c>
      <c r="O12" s="76"/>
      <c r="P12" s="77"/>
      <c r="Q12" s="77"/>
      <c r="R12" s="131"/>
      <c r="S12" s="48">
        <v>3</v>
      </c>
      <c r="T12" s="48">
        <v>2</v>
      </c>
      <c r="U12" s="49">
        <v>16</v>
      </c>
      <c r="V12" s="49">
        <v>0.058824</v>
      </c>
      <c r="W12" s="49">
        <v>0</v>
      </c>
      <c r="X12" s="49">
        <v>1.338985</v>
      </c>
      <c r="Y12" s="49">
        <v>0</v>
      </c>
      <c r="Z12" s="49">
        <v>0.5</v>
      </c>
      <c r="AA12" s="72">
        <v>12</v>
      </c>
      <c r="AB12" s="72"/>
      <c r="AC12" s="73"/>
      <c r="AD12" s="80" t="s">
        <v>917</v>
      </c>
      <c r="AE12" s="80"/>
      <c r="AF12" s="80"/>
      <c r="AG12" s="80"/>
      <c r="AH12" s="80"/>
      <c r="AI12" s="80"/>
      <c r="AJ12" s="84">
        <v>39297.67853009259</v>
      </c>
      <c r="AK12" s="82" t="str">
        <f>HYPERLINK("https://yt3.ggpht.com/a/AATXAJw-PgJwjSwij-O0eCShTAwKsCE6P-Z4HWI13A=s88-c-k-c0xffffffff-no-rj-mo")</f>
        <v>https://yt3.ggpht.com/a/AATXAJw-PgJwjSwij-O0eCShTAwKsCE6P-Z4HWI13A=s88-c-k-c0xffffffff-no-rj-mo</v>
      </c>
      <c r="AL12" s="80">
        <v>36</v>
      </c>
      <c r="AM12" s="80">
        <v>0</v>
      </c>
      <c r="AN12" s="80">
        <v>0</v>
      </c>
      <c r="AO12" s="80" t="b">
        <v>0</v>
      </c>
      <c r="AP12" s="80">
        <v>3</v>
      </c>
      <c r="AQ12" s="80"/>
      <c r="AR12" s="80"/>
      <c r="AS12" s="80" t="s">
        <v>230</v>
      </c>
      <c r="AT12" s="82" t="str">
        <f>HYPERLINK("https://www.youtube.com/channel/UCbRbT2swDvJdUxLtbse5Ycw")</f>
        <v>https://www.youtube.com/channel/UCbRbT2swDvJdUxLtbse5Ycw</v>
      </c>
      <c r="AU12" s="79" t="str">
        <f>REPLACE(INDEX(GroupVertices[Group],MATCH(Vertices[[#This Row],[Vertex]],GroupVertices[Vertex],0)),1,1,"")</f>
        <v>5</v>
      </c>
      <c r="AV12" s="48"/>
      <c r="AW12" s="49"/>
      <c r="AX12" s="48"/>
      <c r="AY12" s="49"/>
      <c r="AZ12" s="48"/>
      <c r="BA12" s="49"/>
      <c r="BB12" s="48"/>
      <c r="BC12" s="49"/>
      <c r="BD12" s="48"/>
      <c r="BE12" s="120" t="s">
        <v>408</v>
      </c>
      <c r="BF12" s="120" t="s">
        <v>408</v>
      </c>
      <c r="BG12" s="120" t="s">
        <v>408</v>
      </c>
      <c r="BH12" s="120" t="s">
        <v>408</v>
      </c>
      <c r="BI12" s="2"/>
      <c r="BJ12" s="3"/>
      <c r="BK12" s="3"/>
      <c r="BL12" s="3"/>
      <c r="BM12" s="3"/>
    </row>
    <row r="13" spans="1:65" ht="15">
      <c r="A13" s="65" t="s">
        <v>456</v>
      </c>
      <c r="B13" s="66"/>
      <c r="C13" s="66"/>
      <c r="D13" s="67">
        <v>466.6666666666667</v>
      </c>
      <c r="E13" s="127"/>
      <c r="F13" s="98" t="str">
        <f>HYPERLINK("https://yt3.ggpht.com/a/AATXAJy34W7rpQbcneVlxTVNNbLRIQDLR8kGPJshQg=s88-c-k-c0xffffffff-no-rj-mo")</f>
        <v>https://yt3.ggpht.com/a/AATXAJy34W7rpQbcneVlxTVNNbLRIQDLR8kGPJshQg=s88-c-k-c0xffffffff-no-rj-mo</v>
      </c>
      <c r="G13" s="128"/>
      <c r="H13" s="70" t="s">
        <v>918</v>
      </c>
      <c r="I13" s="71"/>
      <c r="J13" s="129"/>
      <c r="K13" s="70" t="s">
        <v>918</v>
      </c>
      <c r="L13" s="130">
        <v>323.51612903225805</v>
      </c>
      <c r="M13" s="75">
        <v>5029.83740234375</v>
      </c>
      <c r="N13" s="75">
        <v>1328.3931884765625</v>
      </c>
      <c r="O13" s="76"/>
      <c r="P13" s="77"/>
      <c r="Q13" s="77"/>
      <c r="R13" s="131"/>
      <c r="S13" s="48">
        <v>1</v>
      </c>
      <c r="T13" s="48">
        <v>1</v>
      </c>
      <c r="U13" s="49">
        <v>0</v>
      </c>
      <c r="V13" s="49">
        <v>0.052632</v>
      </c>
      <c r="W13" s="49">
        <v>0</v>
      </c>
      <c r="X13" s="49">
        <v>0.509634</v>
      </c>
      <c r="Y13" s="49">
        <v>0</v>
      </c>
      <c r="Z13" s="49">
        <v>1</v>
      </c>
      <c r="AA13" s="72">
        <v>13</v>
      </c>
      <c r="AB13" s="72"/>
      <c r="AC13" s="73"/>
      <c r="AD13" s="80" t="s">
        <v>918</v>
      </c>
      <c r="AE13" s="80"/>
      <c r="AF13" s="80"/>
      <c r="AG13" s="80"/>
      <c r="AH13" s="80"/>
      <c r="AI13" s="80"/>
      <c r="AJ13" s="84">
        <v>41326.256053240744</v>
      </c>
      <c r="AK13" s="82" t="str">
        <f>HYPERLINK("https://yt3.ggpht.com/a/AATXAJy34W7rpQbcneVlxTVNNbLRIQDLR8kGPJshQg=s88-c-k-c0xffffffff-no-rj-mo")</f>
        <v>https://yt3.ggpht.com/a/AATXAJy34W7rpQbcneVlxTVNNbLRIQDLR8kGPJshQg=s88-c-k-c0xffffffff-no-rj-mo</v>
      </c>
      <c r="AL13" s="80">
        <v>0</v>
      </c>
      <c r="AM13" s="80">
        <v>0</v>
      </c>
      <c r="AN13" s="80">
        <v>1</v>
      </c>
      <c r="AO13" s="80" t="b">
        <v>0</v>
      </c>
      <c r="AP13" s="80">
        <v>0</v>
      </c>
      <c r="AQ13" s="80"/>
      <c r="AR13" s="80"/>
      <c r="AS13" s="80" t="s">
        <v>230</v>
      </c>
      <c r="AT13" s="82" t="str">
        <f>HYPERLINK("https://www.youtube.com/channel/UCFrlL2ETbR5Ut4zRY4rGlbA")</f>
        <v>https://www.youtube.com/channel/UCFrlL2ETbR5Ut4zRY4rGlbA</v>
      </c>
      <c r="AU13" s="79" t="str">
        <f>REPLACE(INDEX(GroupVertices[Group],MATCH(Vertices[[#This Row],[Vertex]],GroupVertices[Vertex],0)),1,1,"")</f>
        <v>5</v>
      </c>
      <c r="AV13" s="48"/>
      <c r="AW13" s="49"/>
      <c r="AX13" s="48"/>
      <c r="AY13" s="49"/>
      <c r="AZ13" s="48"/>
      <c r="BA13" s="49"/>
      <c r="BB13" s="48"/>
      <c r="BC13" s="49"/>
      <c r="BD13" s="48"/>
      <c r="BE13" s="120" t="s">
        <v>408</v>
      </c>
      <c r="BF13" s="120" t="s">
        <v>408</v>
      </c>
      <c r="BG13" s="120" t="s">
        <v>408</v>
      </c>
      <c r="BH13" s="120" t="s">
        <v>408</v>
      </c>
      <c r="BI13" s="2"/>
      <c r="BJ13" s="3"/>
      <c r="BK13" s="3"/>
      <c r="BL13" s="3"/>
      <c r="BM13" s="3"/>
    </row>
    <row r="14" spans="1:65" ht="15">
      <c r="A14" s="65" t="s">
        <v>457</v>
      </c>
      <c r="B14" s="66"/>
      <c r="C14" s="66"/>
      <c r="D14" s="67">
        <v>200</v>
      </c>
      <c r="E14" s="127"/>
      <c r="F14" s="98" t="str">
        <f>HYPERLINK("https://yt3.ggpht.com/a/AATXAJwcJqfuplTLprW0r_iRceJIxOb_pZOIzJ9qbw=s88-c-k-c0xffffffff-no-rj-mo")</f>
        <v>https://yt3.ggpht.com/a/AATXAJwcJqfuplTLprW0r_iRceJIxOb_pZOIzJ9qbw=s88-c-k-c0xffffffff-no-rj-mo</v>
      </c>
      <c r="G14" s="128"/>
      <c r="H14" s="70" t="s">
        <v>919</v>
      </c>
      <c r="I14" s="71"/>
      <c r="J14" s="129"/>
      <c r="K14" s="70" t="s">
        <v>919</v>
      </c>
      <c r="L14" s="130">
        <v>1</v>
      </c>
      <c r="M14" s="75">
        <v>5464.87890625</v>
      </c>
      <c r="N14" s="75">
        <v>2396.45458984375</v>
      </c>
      <c r="O14" s="76"/>
      <c r="P14" s="77"/>
      <c r="Q14" s="77"/>
      <c r="R14" s="131"/>
      <c r="S14" s="48">
        <v>0</v>
      </c>
      <c r="T14" s="48">
        <v>1</v>
      </c>
      <c r="U14" s="49">
        <v>0</v>
      </c>
      <c r="V14" s="49">
        <v>0.04</v>
      </c>
      <c r="W14" s="49">
        <v>0</v>
      </c>
      <c r="X14" s="49">
        <v>0.529379</v>
      </c>
      <c r="Y14" s="49">
        <v>0</v>
      </c>
      <c r="Z14" s="49">
        <v>0</v>
      </c>
      <c r="AA14" s="72">
        <v>14</v>
      </c>
      <c r="AB14" s="72"/>
      <c r="AC14" s="73"/>
      <c r="AD14" s="80" t="s">
        <v>919</v>
      </c>
      <c r="AE14" s="80"/>
      <c r="AF14" s="80"/>
      <c r="AG14" s="80"/>
      <c r="AH14" s="80"/>
      <c r="AI14" s="80"/>
      <c r="AJ14" s="84">
        <v>42533.5315625</v>
      </c>
      <c r="AK14" s="82" t="str">
        <f>HYPERLINK("https://yt3.ggpht.com/a/AATXAJwcJqfuplTLprW0r_iRceJIxOb_pZOIzJ9qbw=s88-c-k-c0xffffffff-no-rj-mo")</f>
        <v>https://yt3.ggpht.com/a/AATXAJwcJqfuplTLprW0r_iRceJIxOb_pZOIzJ9qbw=s88-c-k-c0xffffffff-no-rj-mo</v>
      </c>
      <c r="AL14" s="80">
        <v>0</v>
      </c>
      <c r="AM14" s="80">
        <v>0</v>
      </c>
      <c r="AN14" s="80">
        <v>0</v>
      </c>
      <c r="AO14" s="80" t="b">
        <v>0</v>
      </c>
      <c r="AP14" s="80">
        <v>0</v>
      </c>
      <c r="AQ14" s="80"/>
      <c r="AR14" s="80"/>
      <c r="AS14" s="80" t="s">
        <v>230</v>
      </c>
      <c r="AT14" s="82" t="str">
        <f>HYPERLINK("https://www.youtube.com/channel/UCIuBeymsrTVZxiIMI6614Cg")</f>
        <v>https://www.youtube.com/channel/UCIuBeymsrTVZxiIMI6614Cg</v>
      </c>
      <c r="AU14" s="79" t="str">
        <f>REPLACE(INDEX(GroupVertices[Group],MATCH(Vertices[[#This Row],[Vertex]],GroupVertices[Vertex],0)),1,1,"")</f>
        <v>5</v>
      </c>
      <c r="AV14" s="48"/>
      <c r="AW14" s="49"/>
      <c r="AX14" s="48"/>
      <c r="AY14" s="49"/>
      <c r="AZ14" s="48"/>
      <c r="BA14" s="49"/>
      <c r="BB14" s="48"/>
      <c r="BC14" s="49"/>
      <c r="BD14" s="48"/>
      <c r="BE14" s="120" t="s">
        <v>408</v>
      </c>
      <c r="BF14" s="120" t="s">
        <v>408</v>
      </c>
      <c r="BG14" s="120" t="s">
        <v>408</v>
      </c>
      <c r="BH14" s="120" t="s">
        <v>408</v>
      </c>
      <c r="BI14" s="2"/>
      <c r="BJ14" s="3"/>
      <c r="BK14" s="3"/>
      <c r="BL14" s="3"/>
      <c r="BM14" s="3"/>
    </row>
    <row r="15" spans="1:65" ht="15">
      <c r="A15" s="65" t="s">
        <v>458</v>
      </c>
      <c r="B15" s="66"/>
      <c r="C15" s="66"/>
      <c r="D15" s="67">
        <v>733.3333333333334</v>
      </c>
      <c r="E15" s="127"/>
      <c r="F15" s="98" t="str">
        <f>HYPERLINK("https://yt3.ggpht.com/a/AATXAJy07HwvWDE_rcCi7smMsV5NLMlClh2svuvPxw=s88-c-k-c0xffffffff-no-rj-mo")</f>
        <v>https://yt3.ggpht.com/a/AATXAJy07HwvWDE_rcCi7smMsV5NLMlClh2svuvPxw=s88-c-k-c0xffffffff-no-rj-mo</v>
      </c>
      <c r="G15" s="128"/>
      <c r="H15" s="70" t="s">
        <v>920</v>
      </c>
      <c r="I15" s="71"/>
      <c r="J15" s="129"/>
      <c r="K15" s="70" t="s">
        <v>920</v>
      </c>
      <c r="L15" s="130">
        <v>646.0322580645161</v>
      </c>
      <c r="M15" s="75">
        <v>4951.8125</v>
      </c>
      <c r="N15" s="75">
        <v>1969.409423828125</v>
      </c>
      <c r="O15" s="76"/>
      <c r="P15" s="77"/>
      <c r="Q15" s="77"/>
      <c r="R15" s="131"/>
      <c r="S15" s="48">
        <v>2</v>
      </c>
      <c r="T15" s="48">
        <v>2</v>
      </c>
      <c r="U15" s="49">
        <v>16</v>
      </c>
      <c r="V15" s="49">
        <v>0.058824</v>
      </c>
      <c r="W15" s="49">
        <v>0</v>
      </c>
      <c r="X15" s="49">
        <v>1.338985</v>
      </c>
      <c r="Y15" s="49">
        <v>0</v>
      </c>
      <c r="Z15" s="49">
        <v>0</v>
      </c>
      <c r="AA15" s="72">
        <v>15</v>
      </c>
      <c r="AB15" s="72"/>
      <c r="AC15" s="73"/>
      <c r="AD15" s="80" t="s">
        <v>920</v>
      </c>
      <c r="AE15" s="80"/>
      <c r="AF15" s="80"/>
      <c r="AG15" s="80"/>
      <c r="AH15" s="80"/>
      <c r="AI15" s="80" t="s">
        <v>1398</v>
      </c>
      <c r="AJ15" s="84">
        <v>39690.806493055556</v>
      </c>
      <c r="AK15" s="82" t="str">
        <f>HYPERLINK("https://yt3.ggpht.com/a/AATXAJy07HwvWDE_rcCi7smMsV5NLMlClh2svuvPxw=s88-c-k-c0xffffffff-no-rj-mo")</f>
        <v>https://yt3.ggpht.com/a/AATXAJy07HwvWDE_rcCi7smMsV5NLMlClh2svuvPxw=s88-c-k-c0xffffffff-no-rj-mo</v>
      </c>
      <c r="AL15" s="80">
        <v>1663</v>
      </c>
      <c r="AM15" s="80">
        <v>0</v>
      </c>
      <c r="AN15" s="80">
        <v>0</v>
      </c>
      <c r="AO15" s="80" t="b">
        <v>0</v>
      </c>
      <c r="AP15" s="80">
        <v>18</v>
      </c>
      <c r="AQ15" s="80"/>
      <c r="AR15" s="80"/>
      <c r="AS15" s="80" t="s">
        <v>230</v>
      </c>
      <c r="AT15" s="82" t="str">
        <f>HYPERLINK("https://www.youtube.com/channel/UC4whMI1SFiEZvJZiKMgwCnQ")</f>
        <v>https://www.youtube.com/channel/UC4whMI1SFiEZvJZiKMgwCnQ</v>
      </c>
      <c r="AU15" s="79" t="str">
        <f>REPLACE(INDEX(GroupVertices[Group],MATCH(Vertices[[#This Row],[Vertex]],GroupVertices[Vertex],0)),1,1,"")</f>
        <v>5</v>
      </c>
      <c r="AV15" s="48"/>
      <c r="AW15" s="49"/>
      <c r="AX15" s="48"/>
      <c r="AY15" s="49"/>
      <c r="AZ15" s="48"/>
      <c r="BA15" s="49"/>
      <c r="BB15" s="48"/>
      <c r="BC15" s="49"/>
      <c r="BD15" s="48"/>
      <c r="BE15" s="120" t="s">
        <v>408</v>
      </c>
      <c r="BF15" s="120" t="s">
        <v>408</v>
      </c>
      <c r="BG15" s="120" t="s">
        <v>408</v>
      </c>
      <c r="BH15" s="120" t="s">
        <v>408</v>
      </c>
      <c r="BI15" s="2"/>
      <c r="BJ15" s="3"/>
      <c r="BK15" s="3"/>
      <c r="BL15" s="3"/>
      <c r="BM15" s="3"/>
    </row>
    <row r="16" spans="1:65" ht="15">
      <c r="A16" s="65" t="s">
        <v>459</v>
      </c>
      <c r="B16" s="66"/>
      <c r="C16" s="66"/>
      <c r="D16" s="67">
        <v>466.6666666666667</v>
      </c>
      <c r="E16" s="127"/>
      <c r="F16" s="98" t="str">
        <f>HYPERLINK("https://yt3.ggpht.com/a/AATXAJziMuoRzHBG9L5WcRXJAm3fgHfqRv3avQV-YQ=s88-c-k-c0xffffffff-no-rj-mo")</f>
        <v>https://yt3.ggpht.com/a/AATXAJziMuoRzHBG9L5WcRXJAm3fgHfqRv3avQV-YQ=s88-c-k-c0xffffffff-no-rj-mo</v>
      </c>
      <c r="G16" s="128"/>
      <c r="H16" s="70" t="s">
        <v>921</v>
      </c>
      <c r="I16" s="71"/>
      <c r="J16" s="129"/>
      <c r="K16" s="70" t="s">
        <v>921</v>
      </c>
      <c r="L16" s="130">
        <v>323.51612903225805</v>
      </c>
      <c r="M16" s="75">
        <v>4179.65771484375</v>
      </c>
      <c r="N16" s="75">
        <v>2101.31982421875</v>
      </c>
      <c r="O16" s="76"/>
      <c r="P16" s="77"/>
      <c r="Q16" s="77"/>
      <c r="R16" s="131"/>
      <c r="S16" s="48">
        <v>1</v>
      </c>
      <c r="T16" s="48">
        <v>2</v>
      </c>
      <c r="U16" s="49">
        <v>0</v>
      </c>
      <c r="V16" s="49">
        <v>0.055556</v>
      </c>
      <c r="W16" s="49">
        <v>0</v>
      </c>
      <c r="X16" s="49">
        <v>0.88632</v>
      </c>
      <c r="Y16" s="49">
        <v>0.5</v>
      </c>
      <c r="Z16" s="49">
        <v>0.5</v>
      </c>
      <c r="AA16" s="72">
        <v>16</v>
      </c>
      <c r="AB16" s="72"/>
      <c r="AC16" s="73"/>
      <c r="AD16" s="80" t="s">
        <v>921</v>
      </c>
      <c r="AE16" s="80"/>
      <c r="AF16" s="80"/>
      <c r="AG16" s="80"/>
      <c r="AH16" s="80"/>
      <c r="AI16" s="80"/>
      <c r="AJ16" s="84">
        <v>42883.7178587963</v>
      </c>
      <c r="AK16" s="82" t="str">
        <f>HYPERLINK("https://yt3.ggpht.com/a/AATXAJziMuoRzHBG9L5WcRXJAm3fgHfqRv3avQV-YQ=s88-c-k-c0xffffffff-no-rj-mo")</f>
        <v>https://yt3.ggpht.com/a/AATXAJziMuoRzHBG9L5WcRXJAm3fgHfqRv3avQV-YQ=s88-c-k-c0xffffffff-no-rj-mo</v>
      </c>
      <c r="AL16" s="80">
        <v>0</v>
      </c>
      <c r="AM16" s="80">
        <v>0</v>
      </c>
      <c r="AN16" s="80">
        <v>0</v>
      </c>
      <c r="AO16" s="80" t="b">
        <v>0</v>
      </c>
      <c r="AP16" s="80">
        <v>0</v>
      </c>
      <c r="AQ16" s="80"/>
      <c r="AR16" s="80"/>
      <c r="AS16" s="80" t="s">
        <v>230</v>
      </c>
      <c r="AT16" s="82" t="str">
        <f>HYPERLINK("https://www.youtube.com/channel/UCQGkbd6oU8-AFpzS46ms-pw")</f>
        <v>https://www.youtube.com/channel/UCQGkbd6oU8-AFpzS46ms-pw</v>
      </c>
      <c r="AU16" s="79" t="str">
        <f>REPLACE(INDEX(GroupVertices[Group],MATCH(Vertices[[#This Row],[Vertex]],GroupVertices[Vertex],0)),1,1,"")</f>
        <v>5</v>
      </c>
      <c r="AV16" s="48"/>
      <c r="AW16" s="49"/>
      <c r="AX16" s="48"/>
      <c r="AY16" s="49"/>
      <c r="AZ16" s="48"/>
      <c r="BA16" s="49"/>
      <c r="BB16" s="48"/>
      <c r="BC16" s="49"/>
      <c r="BD16" s="48"/>
      <c r="BE16" s="120" t="s">
        <v>408</v>
      </c>
      <c r="BF16" s="120" t="s">
        <v>408</v>
      </c>
      <c r="BG16" s="120" t="s">
        <v>408</v>
      </c>
      <c r="BH16" s="120" t="s">
        <v>408</v>
      </c>
      <c r="BI16" s="2"/>
      <c r="BJ16" s="3"/>
      <c r="BK16" s="3"/>
      <c r="BL16" s="3"/>
      <c r="BM16" s="3"/>
    </row>
    <row r="17" spans="1:65" ht="15">
      <c r="A17" s="65" t="s">
        <v>460</v>
      </c>
      <c r="B17" s="66"/>
      <c r="C17" s="66"/>
      <c r="D17" s="67">
        <v>466.6666666666667</v>
      </c>
      <c r="E17" s="127"/>
      <c r="F17" s="98" t="str">
        <f>HYPERLINK("https://yt3.ggpht.com/a/AATXAJzQqH6i9FpPEgJXkiBCXR3trc7xaXVogmzaNA=s88-c-k-c0xffffffff-no-rj-mo")</f>
        <v>https://yt3.ggpht.com/a/AATXAJzQqH6i9FpPEgJXkiBCXR3trc7xaXVogmzaNA=s88-c-k-c0xffffffff-no-rj-mo</v>
      </c>
      <c r="G17" s="128"/>
      <c r="H17" s="70" t="s">
        <v>922</v>
      </c>
      <c r="I17" s="71"/>
      <c r="J17" s="129"/>
      <c r="K17" s="70" t="s">
        <v>922</v>
      </c>
      <c r="L17" s="130">
        <v>323.51612903225805</v>
      </c>
      <c r="M17" s="75">
        <v>3849.603515625</v>
      </c>
      <c r="N17" s="75">
        <v>1954.1944580078125</v>
      </c>
      <c r="O17" s="76"/>
      <c r="P17" s="77"/>
      <c r="Q17" s="77"/>
      <c r="R17" s="131"/>
      <c r="S17" s="48">
        <v>1</v>
      </c>
      <c r="T17" s="48">
        <v>1</v>
      </c>
      <c r="U17" s="49">
        <v>0</v>
      </c>
      <c r="V17" s="49">
        <v>0.055556</v>
      </c>
      <c r="W17" s="49">
        <v>0</v>
      </c>
      <c r="X17" s="49">
        <v>0.88632</v>
      </c>
      <c r="Y17" s="49">
        <v>1</v>
      </c>
      <c r="Z17" s="49">
        <v>0</v>
      </c>
      <c r="AA17" s="72">
        <v>17</v>
      </c>
      <c r="AB17" s="72"/>
      <c r="AC17" s="73"/>
      <c r="AD17" s="80" t="s">
        <v>922</v>
      </c>
      <c r="AE17" s="80"/>
      <c r="AF17" s="80"/>
      <c r="AG17" s="80"/>
      <c r="AH17" s="80"/>
      <c r="AI17" s="80" t="s">
        <v>1399</v>
      </c>
      <c r="AJ17" s="84">
        <v>39085.77460648148</v>
      </c>
      <c r="AK17" s="82" t="str">
        <f>HYPERLINK("https://yt3.ggpht.com/a/AATXAJzQqH6i9FpPEgJXkiBCXR3trc7xaXVogmzaNA=s88-c-k-c0xffffffff-no-rj-mo")</f>
        <v>https://yt3.ggpht.com/a/AATXAJzQqH6i9FpPEgJXkiBCXR3trc7xaXVogmzaNA=s88-c-k-c0xffffffff-no-rj-mo</v>
      </c>
      <c r="AL17" s="80">
        <v>264</v>
      </c>
      <c r="AM17" s="80">
        <v>0</v>
      </c>
      <c r="AN17" s="80">
        <v>2</v>
      </c>
      <c r="AO17" s="80" t="b">
        <v>0</v>
      </c>
      <c r="AP17" s="80">
        <v>2</v>
      </c>
      <c r="AQ17" s="80"/>
      <c r="AR17" s="80"/>
      <c r="AS17" s="80" t="s">
        <v>230</v>
      </c>
      <c r="AT17" s="82" t="str">
        <f>HYPERLINK("https://www.youtube.com/channel/UCcX7XxMECeuapEGi_q0Wzng")</f>
        <v>https://www.youtube.com/channel/UCcX7XxMECeuapEGi_q0Wzng</v>
      </c>
      <c r="AU17" s="79" t="str">
        <f>REPLACE(INDEX(GroupVertices[Group],MATCH(Vertices[[#This Row],[Vertex]],GroupVertices[Vertex],0)),1,1,"")</f>
        <v>5</v>
      </c>
      <c r="AV17" s="48"/>
      <c r="AW17" s="49"/>
      <c r="AX17" s="48"/>
      <c r="AY17" s="49"/>
      <c r="AZ17" s="48"/>
      <c r="BA17" s="49"/>
      <c r="BB17" s="48"/>
      <c r="BC17" s="49"/>
      <c r="BD17" s="48"/>
      <c r="BE17" s="120" t="s">
        <v>408</v>
      </c>
      <c r="BF17" s="120" t="s">
        <v>408</v>
      </c>
      <c r="BG17" s="120" t="s">
        <v>408</v>
      </c>
      <c r="BH17" s="120" t="s">
        <v>408</v>
      </c>
      <c r="BI17" s="2"/>
      <c r="BJ17" s="3"/>
      <c r="BK17" s="3"/>
      <c r="BL17" s="3"/>
      <c r="BM17" s="3"/>
    </row>
    <row r="18" spans="1:65" ht="15">
      <c r="A18" s="65" t="s">
        <v>461</v>
      </c>
      <c r="B18" s="66"/>
      <c r="C18" s="66"/>
      <c r="D18" s="67">
        <v>1000</v>
      </c>
      <c r="E18" s="127"/>
      <c r="F18" s="98" t="str">
        <f>HYPERLINK("https://yt3.ggpht.com/a/AATXAJzTnOVPvc73AZr_6Q-3Y2VHEZ3QevFBw6WRFQ=s88-c-k-c0xffffffff-no-rj-mo")</f>
        <v>https://yt3.ggpht.com/a/AATXAJzTnOVPvc73AZr_6Q-3Y2VHEZ3QevFBw6WRFQ=s88-c-k-c0xffffffff-no-rj-mo</v>
      </c>
      <c r="G18" s="128"/>
      <c r="H18" s="70" t="s">
        <v>923</v>
      </c>
      <c r="I18" s="71"/>
      <c r="J18" s="129"/>
      <c r="K18" s="70" t="s">
        <v>923</v>
      </c>
      <c r="L18" s="130">
        <v>9999</v>
      </c>
      <c r="M18" s="75">
        <v>1903.470947265625</v>
      </c>
      <c r="N18" s="75">
        <v>2326.949462890625</v>
      </c>
      <c r="O18" s="76"/>
      <c r="P18" s="77"/>
      <c r="Q18" s="77"/>
      <c r="R18" s="131"/>
      <c r="S18" s="48">
        <v>31</v>
      </c>
      <c r="T18" s="48">
        <v>21</v>
      </c>
      <c r="U18" s="49">
        <v>2352</v>
      </c>
      <c r="V18" s="49">
        <v>0.014493</v>
      </c>
      <c r="W18" s="49">
        <v>0.130497</v>
      </c>
      <c r="X18" s="49">
        <v>12.294669</v>
      </c>
      <c r="Y18" s="49">
        <v>0.001075268817204301</v>
      </c>
      <c r="Z18" s="49">
        <v>0.6774193548387096</v>
      </c>
      <c r="AA18" s="72">
        <v>18</v>
      </c>
      <c r="AB18" s="72"/>
      <c r="AC18" s="73"/>
      <c r="AD18" s="80" t="s">
        <v>923</v>
      </c>
      <c r="AE18" s="80" t="s">
        <v>1338</v>
      </c>
      <c r="AF18" s="80"/>
      <c r="AG18" s="80"/>
      <c r="AH18" s="80"/>
      <c r="AI18" s="80" t="s">
        <v>1400</v>
      </c>
      <c r="AJ18" s="84">
        <v>41976.599756944444</v>
      </c>
      <c r="AK18" s="82" t="str">
        <f>HYPERLINK("https://yt3.ggpht.com/a/AATXAJzTnOVPvc73AZr_6Q-3Y2VHEZ3QevFBw6WRFQ=s88-c-k-c0xffffffff-no-rj-mo")</f>
        <v>https://yt3.ggpht.com/a/AATXAJzTnOVPvc73AZr_6Q-3Y2VHEZ3QevFBw6WRFQ=s88-c-k-c0xffffffff-no-rj-mo</v>
      </c>
      <c r="AL18" s="80">
        <v>7370999</v>
      </c>
      <c r="AM18" s="80">
        <v>0</v>
      </c>
      <c r="AN18" s="80">
        <v>115000</v>
      </c>
      <c r="AO18" s="80" t="b">
        <v>0</v>
      </c>
      <c r="AP18" s="80">
        <v>571</v>
      </c>
      <c r="AQ18" s="80"/>
      <c r="AR18" s="80"/>
      <c r="AS18" s="80" t="s">
        <v>230</v>
      </c>
      <c r="AT18" s="82" t="str">
        <f>HYPERLINK("https://www.youtube.com/channel/UCFp1vaKzpfvoGai0vE5VJ0w")</f>
        <v>https://www.youtube.com/channel/UCFp1vaKzpfvoGai0vE5VJ0w</v>
      </c>
      <c r="AU18" s="79" t="str">
        <f>REPLACE(INDEX(GroupVertices[Group],MATCH(Vertices[[#This Row],[Vertex]],GroupVertices[Vertex],0)),1,1,"")</f>
        <v>2</v>
      </c>
      <c r="AV18" s="48">
        <v>7</v>
      </c>
      <c r="AW18" s="49">
        <v>4.294478527607362</v>
      </c>
      <c r="AX18" s="48">
        <v>0</v>
      </c>
      <c r="AY18" s="49">
        <v>0</v>
      </c>
      <c r="AZ18" s="48">
        <v>0</v>
      </c>
      <c r="BA18" s="49">
        <v>0</v>
      </c>
      <c r="BB18" s="48">
        <v>156</v>
      </c>
      <c r="BC18" s="49">
        <v>95.70552147239263</v>
      </c>
      <c r="BD18" s="48">
        <v>163</v>
      </c>
      <c r="BE18" s="120" t="s">
        <v>408</v>
      </c>
      <c r="BF18" s="120" t="s">
        <v>408</v>
      </c>
      <c r="BG18" s="120" t="s">
        <v>408</v>
      </c>
      <c r="BH18" s="120" t="s">
        <v>408</v>
      </c>
      <c r="BI18" s="2"/>
      <c r="BJ18" s="3"/>
      <c r="BK18" s="3"/>
      <c r="BL18" s="3"/>
      <c r="BM18" s="3"/>
    </row>
    <row r="19" spans="1:65" ht="15">
      <c r="A19" s="65" t="s">
        <v>462</v>
      </c>
      <c r="B19" s="66"/>
      <c r="C19" s="66"/>
      <c r="D19" s="67">
        <v>733.3333333333334</v>
      </c>
      <c r="E19" s="127"/>
      <c r="F19" s="98" t="str">
        <f>HYPERLINK("https://yt3.ggpht.com/a/AATXAJyvk1yFT5GKFQt5qYGzpSHQv-98HnDXvr8TBA=s88-c-k-c0xffffffff-no-rj-mo")</f>
        <v>https://yt3.ggpht.com/a/AATXAJyvk1yFT5GKFQt5qYGzpSHQv-98HnDXvr8TBA=s88-c-k-c0xffffffff-no-rj-mo</v>
      </c>
      <c r="G19" s="128"/>
      <c r="H19" s="70" t="s">
        <v>924</v>
      </c>
      <c r="I19" s="71"/>
      <c r="J19" s="129"/>
      <c r="K19" s="70" t="s">
        <v>924</v>
      </c>
      <c r="L19" s="130">
        <v>646.0322580645161</v>
      </c>
      <c r="M19" s="75">
        <v>1841.479248046875</v>
      </c>
      <c r="N19" s="75">
        <v>1233.6632080078125</v>
      </c>
      <c r="O19" s="76"/>
      <c r="P19" s="77"/>
      <c r="Q19" s="77"/>
      <c r="R19" s="131"/>
      <c r="S19" s="48">
        <v>2</v>
      </c>
      <c r="T19" s="48">
        <v>2</v>
      </c>
      <c r="U19" s="49">
        <v>0</v>
      </c>
      <c r="V19" s="49">
        <v>0.008475</v>
      </c>
      <c r="W19" s="49">
        <v>0.027041</v>
      </c>
      <c r="X19" s="49">
        <v>0.84715</v>
      </c>
      <c r="Y19" s="49">
        <v>0</v>
      </c>
      <c r="Z19" s="49">
        <v>1</v>
      </c>
      <c r="AA19" s="72">
        <v>19</v>
      </c>
      <c r="AB19" s="72"/>
      <c r="AC19" s="73"/>
      <c r="AD19" s="80" t="s">
        <v>924</v>
      </c>
      <c r="AE19" s="80" t="s">
        <v>1339</v>
      </c>
      <c r="AF19" s="80"/>
      <c r="AG19" s="80"/>
      <c r="AH19" s="80"/>
      <c r="AI19" s="80" t="s">
        <v>1401</v>
      </c>
      <c r="AJ19" s="84">
        <v>43674.62710648148</v>
      </c>
      <c r="AK19" s="82" t="str">
        <f>HYPERLINK("https://yt3.ggpht.com/a/AATXAJyvk1yFT5GKFQt5qYGzpSHQv-98HnDXvr8TBA=s88-c-k-c0xffffffff-no-rj-mo")</f>
        <v>https://yt3.ggpht.com/a/AATXAJyvk1yFT5GKFQt5qYGzpSHQv-98HnDXvr8TBA=s88-c-k-c0xffffffff-no-rj-mo</v>
      </c>
      <c r="AL19" s="80">
        <v>10334</v>
      </c>
      <c r="AM19" s="80">
        <v>0</v>
      </c>
      <c r="AN19" s="80">
        <v>688</v>
      </c>
      <c r="AO19" s="80" t="b">
        <v>0</v>
      </c>
      <c r="AP19" s="80">
        <v>33</v>
      </c>
      <c r="AQ19" s="80"/>
      <c r="AR19" s="80"/>
      <c r="AS19" s="80" t="s">
        <v>230</v>
      </c>
      <c r="AT19" s="82" t="str">
        <f>HYPERLINK("https://www.youtube.com/channel/UCUNTlJDKLzxxGo0tmKLbdOQ")</f>
        <v>https://www.youtube.com/channel/UCUNTlJDKLzxxGo0tmKLbdOQ</v>
      </c>
      <c r="AU19" s="79" t="str">
        <f>REPLACE(INDEX(GroupVertices[Group],MATCH(Vertices[[#This Row],[Vertex]],GroupVertices[Vertex],0)),1,1,"")</f>
        <v>2</v>
      </c>
      <c r="AV19" s="48">
        <v>3</v>
      </c>
      <c r="AW19" s="49">
        <v>5.2631578947368425</v>
      </c>
      <c r="AX19" s="48">
        <v>0</v>
      </c>
      <c r="AY19" s="49">
        <v>0</v>
      </c>
      <c r="AZ19" s="48">
        <v>0</v>
      </c>
      <c r="BA19" s="49">
        <v>0</v>
      </c>
      <c r="BB19" s="48">
        <v>54</v>
      </c>
      <c r="BC19" s="49">
        <v>94.73684210526316</v>
      </c>
      <c r="BD19" s="48">
        <v>57</v>
      </c>
      <c r="BE19" s="120" t="s">
        <v>408</v>
      </c>
      <c r="BF19" s="120" t="s">
        <v>408</v>
      </c>
      <c r="BG19" s="120" t="s">
        <v>408</v>
      </c>
      <c r="BH19" s="120" t="s">
        <v>408</v>
      </c>
      <c r="BI19" s="2"/>
      <c r="BJ19" s="3"/>
      <c r="BK19" s="3"/>
      <c r="BL19" s="3"/>
      <c r="BM19" s="3"/>
    </row>
    <row r="20" spans="1:65" ht="15">
      <c r="A20" s="65" t="s">
        <v>463</v>
      </c>
      <c r="B20" s="66"/>
      <c r="C20" s="66"/>
      <c r="D20" s="67">
        <v>200</v>
      </c>
      <c r="E20" s="127"/>
      <c r="F20" s="98" t="str">
        <f>HYPERLINK("https://yt3.ggpht.com/a/AATXAJzheqIY75tZBL3lLBi4eQj-Hna3jKrREd8IbuMocw=s88-c-k-c0xffffffff-no-rj-mo")</f>
        <v>https://yt3.ggpht.com/a/AATXAJzheqIY75tZBL3lLBi4eQj-Hna3jKrREd8IbuMocw=s88-c-k-c0xffffffff-no-rj-mo</v>
      </c>
      <c r="G20" s="128"/>
      <c r="H20" s="70" t="s">
        <v>925</v>
      </c>
      <c r="I20" s="71"/>
      <c r="J20" s="129"/>
      <c r="K20" s="70" t="s">
        <v>925</v>
      </c>
      <c r="L20" s="130">
        <v>1</v>
      </c>
      <c r="M20" s="75">
        <v>6940.79541015625</v>
      </c>
      <c r="N20" s="75">
        <v>6500.12890625</v>
      </c>
      <c r="O20" s="76"/>
      <c r="P20" s="77"/>
      <c r="Q20" s="77"/>
      <c r="R20" s="131"/>
      <c r="S20" s="48">
        <v>0</v>
      </c>
      <c r="T20" s="48">
        <v>1</v>
      </c>
      <c r="U20" s="49">
        <v>0</v>
      </c>
      <c r="V20" s="49">
        <v>0.006289</v>
      </c>
      <c r="W20" s="49">
        <v>0.0053</v>
      </c>
      <c r="X20" s="49">
        <v>0.513765</v>
      </c>
      <c r="Y20" s="49">
        <v>0</v>
      </c>
      <c r="Z20" s="49">
        <v>0</v>
      </c>
      <c r="AA20" s="72">
        <v>20</v>
      </c>
      <c r="AB20" s="72"/>
      <c r="AC20" s="73"/>
      <c r="AD20" s="80" t="s">
        <v>925</v>
      </c>
      <c r="AE20" s="80" t="s">
        <v>1340</v>
      </c>
      <c r="AF20" s="80"/>
      <c r="AG20" s="80"/>
      <c r="AH20" s="80"/>
      <c r="AI20" s="80" t="s">
        <v>1402</v>
      </c>
      <c r="AJ20" s="84">
        <v>38895.184432870374</v>
      </c>
      <c r="AK20" s="82" t="str">
        <f>HYPERLINK("https://yt3.ggpht.com/a/AATXAJzheqIY75tZBL3lLBi4eQj-Hna3jKrREd8IbuMocw=s88-c-k-c0xffffffff-no-rj-mo")</f>
        <v>https://yt3.ggpht.com/a/AATXAJzheqIY75tZBL3lLBi4eQj-Hna3jKrREd8IbuMocw=s88-c-k-c0xffffffff-no-rj-mo</v>
      </c>
      <c r="AL20" s="80">
        <v>5836</v>
      </c>
      <c r="AM20" s="80">
        <v>0</v>
      </c>
      <c r="AN20" s="80">
        <v>14</v>
      </c>
      <c r="AO20" s="80" t="b">
        <v>0</v>
      </c>
      <c r="AP20" s="80">
        <v>40</v>
      </c>
      <c r="AQ20" s="80"/>
      <c r="AR20" s="80"/>
      <c r="AS20" s="80" t="s">
        <v>230</v>
      </c>
      <c r="AT20" s="82" t="str">
        <f>HYPERLINK("https://www.youtube.com/channel/UCZY2pH0KI4TPqqx6gzMebOA")</f>
        <v>https://www.youtube.com/channel/UCZY2pH0KI4TPqqx6gzMebOA</v>
      </c>
      <c r="AU20" s="79" t="str">
        <f>REPLACE(INDEX(GroupVertices[Group],MATCH(Vertices[[#This Row],[Vertex]],GroupVertices[Vertex],0)),1,1,"")</f>
        <v>12</v>
      </c>
      <c r="AV20" s="48">
        <v>2</v>
      </c>
      <c r="AW20" s="49">
        <v>22.22222222222222</v>
      </c>
      <c r="AX20" s="48">
        <v>0</v>
      </c>
      <c r="AY20" s="49">
        <v>0</v>
      </c>
      <c r="AZ20" s="48">
        <v>0</v>
      </c>
      <c r="BA20" s="49">
        <v>0</v>
      </c>
      <c r="BB20" s="48">
        <v>7</v>
      </c>
      <c r="BC20" s="49">
        <v>77.77777777777777</v>
      </c>
      <c r="BD20" s="48">
        <v>9</v>
      </c>
      <c r="BE20" s="120" t="s">
        <v>408</v>
      </c>
      <c r="BF20" s="120" t="s">
        <v>408</v>
      </c>
      <c r="BG20" s="120" t="s">
        <v>408</v>
      </c>
      <c r="BH20" s="120" t="s">
        <v>408</v>
      </c>
      <c r="BI20" s="2"/>
      <c r="BJ20" s="3"/>
      <c r="BK20" s="3"/>
      <c r="BL20" s="3"/>
      <c r="BM20" s="3"/>
    </row>
    <row r="21" spans="1:65" ht="15">
      <c r="A21" s="65" t="s">
        <v>480</v>
      </c>
      <c r="B21" s="66"/>
      <c r="C21" s="66"/>
      <c r="D21" s="67">
        <v>1000</v>
      </c>
      <c r="E21" s="127"/>
      <c r="F21" s="98" t="str">
        <f>HYPERLINK("https://yt3.ggpht.com/a/AATXAJyPeHVKYH2t7KGQLlDl_gbZ_UFJ6xwAY3mnYg=s88-c-k-c0xffffffff-no-rj-mo")</f>
        <v>https://yt3.ggpht.com/a/AATXAJyPeHVKYH2t7KGQLlDl_gbZ_UFJ6xwAY3mnYg=s88-c-k-c0xffffffff-no-rj-mo</v>
      </c>
      <c r="G21" s="128"/>
      <c r="H21" s="70" t="s">
        <v>942</v>
      </c>
      <c r="I21" s="71"/>
      <c r="J21" s="129"/>
      <c r="K21" s="70" t="s">
        <v>942</v>
      </c>
      <c r="L21" s="130">
        <v>968.5483870967741</v>
      </c>
      <c r="M21" s="75">
        <v>6299.19140625</v>
      </c>
      <c r="N21" s="75">
        <v>6795.58984375</v>
      </c>
      <c r="O21" s="76"/>
      <c r="P21" s="77"/>
      <c r="Q21" s="77"/>
      <c r="R21" s="131"/>
      <c r="S21" s="48">
        <v>3</v>
      </c>
      <c r="T21" s="48">
        <v>2</v>
      </c>
      <c r="U21" s="49">
        <v>288</v>
      </c>
      <c r="V21" s="49">
        <v>0.009091</v>
      </c>
      <c r="W21" s="49">
        <v>0.031078</v>
      </c>
      <c r="X21" s="49">
        <v>2.139793</v>
      </c>
      <c r="Y21" s="49">
        <v>0.05</v>
      </c>
      <c r="Z21" s="49">
        <v>0</v>
      </c>
      <c r="AA21" s="72">
        <v>21</v>
      </c>
      <c r="AB21" s="72"/>
      <c r="AC21" s="73"/>
      <c r="AD21" s="80" t="s">
        <v>942</v>
      </c>
      <c r="AE21" s="80"/>
      <c r="AF21" s="80"/>
      <c r="AG21" s="80"/>
      <c r="AH21" s="80"/>
      <c r="AI21" s="80"/>
      <c r="AJ21" s="84">
        <v>42266.01840277778</v>
      </c>
      <c r="AK21" s="82" t="str">
        <f>HYPERLINK("https://yt3.ggpht.com/a/AATXAJyPeHVKYH2t7KGQLlDl_gbZ_UFJ6xwAY3mnYg=s88-c-k-c0xffffffff-no-rj-mo")</f>
        <v>https://yt3.ggpht.com/a/AATXAJyPeHVKYH2t7KGQLlDl_gbZ_UFJ6xwAY3mnYg=s88-c-k-c0xffffffff-no-rj-mo</v>
      </c>
      <c r="AL21" s="80">
        <v>0</v>
      </c>
      <c r="AM21" s="80">
        <v>0</v>
      </c>
      <c r="AN21" s="80">
        <v>5</v>
      </c>
      <c r="AO21" s="80" t="b">
        <v>0</v>
      </c>
      <c r="AP21" s="80">
        <v>0</v>
      </c>
      <c r="AQ21" s="80"/>
      <c r="AR21" s="80"/>
      <c r="AS21" s="80" t="s">
        <v>230</v>
      </c>
      <c r="AT21" s="82" t="str">
        <f>HYPERLINK("https://www.youtube.com/channel/UCHHneJvHkxIctOJ6Ok-umxA")</f>
        <v>https://www.youtube.com/channel/UCHHneJvHkxIctOJ6Ok-umxA</v>
      </c>
      <c r="AU21" s="79" t="str">
        <f>REPLACE(INDEX(GroupVertices[Group],MATCH(Vertices[[#This Row],[Vertex]],GroupVertices[Vertex],0)),1,1,"")</f>
        <v>12</v>
      </c>
      <c r="AV21" s="48"/>
      <c r="AW21" s="49"/>
      <c r="AX21" s="48"/>
      <c r="AY21" s="49"/>
      <c r="AZ21" s="48"/>
      <c r="BA21" s="49"/>
      <c r="BB21" s="48"/>
      <c r="BC21" s="49"/>
      <c r="BD21" s="48"/>
      <c r="BE21" s="120" t="s">
        <v>408</v>
      </c>
      <c r="BF21" s="120" t="s">
        <v>408</v>
      </c>
      <c r="BG21" s="120" t="s">
        <v>408</v>
      </c>
      <c r="BH21" s="120" t="s">
        <v>408</v>
      </c>
      <c r="BI21" s="2"/>
      <c r="BJ21" s="3"/>
      <c r="BK21" s="3"/>
      <c r="BL21" s="3"/>
      <c r="BM21" s="3"/>
    </row>
    <row r="22" spans="1:65" ht="15">
      <c r="A22" s="65" t="s">
        <v>464</v>
      </c>
      <c r="B22" s="66"/>
      <c r="C22" s="66"/>
      <c r="D22" s="67">
        <v>200</v>
      </c>
      <c r="E22" s="127"/>
      <c r="F22" s="98" t="str">
        <f>HYPERLINK("https://yt3.ggpht.com/a/AATXAJw-7Eff-YYZVb8zzcjYeTqO9fv088fnCobkkg=s88-c-k-c0xffffffff-no-rj-mo")</f>
        <v>https://yt3.ggpht.com/a/AATXAJw-7Eff-YYZVb8zzcjYeTqO9fv088fnCobkkg=s88-c-k-c0xffffffff-no-rj-mo</v>
      </c>
      <c r="G22" s="128"/>
      <c r="H22" s="70" t="s">
        <v>926</v>
      </c>
      <c r="I22" s="71"/>
      <c r="J22" s="129"/>
      <c r="K22" s="70" t="s">
        <v>926</v>
      </c>
      <c r="L22" s="130">
        <v>1</v>
      </c>
      <c r="M22" s="75">
        <v>5799.76953125</v>
      </c>
      <c r="N22" s="75">
        <v>7325.3359375</v>
      </c>
      <c r="O22" s="76"/>
      <c r="P22" s="77"/>
      <c r="Q22" s="77"/>
      <c r="R22" s="131"/>
      <c r="S22" s="48">
        <v>0</v>
      </c>
      <c r="T22" s="48">
        <v>1</v>
      </c>
      <c r="U22" s="49">
        <v>0</v>
      </c>
      <c r="V22" s="49">
        <v>0.006289</v>
      </c>
      <c r="W22" s="49">
        <v>0.0053</v>
      </c>
      <c r="X22" s="49">
        <v>0.513765</v>
      </c>
      <c r="Y22" s="49">
        <v>0</v>
      </c>
      <c r="Z22" s="49">
        <v>0</v>
      </c>
      <c r="AA22" s="72">
        <v>22</v>
      </c>
      <c r="AB22" s="72"/>
      <c r="AC22" s="73"/>
      <c r="AD22" s="80" t="s">
        <v>926</v>
      </c>
      <c r="AE22" s="80"/>
      <c r="AF22" s="80"/>
      <c r="AG22" s="80"/>
      <c r="AH22" s="80"/>
      <c r="AI22" s="80" t="s">
        <v>1403</v>
      </c>
      <c r="AJ22" s="84">
        <v>40942.97850694445</v>
      </c>
      <c r="AK22" s="82" t="str">
        <f>HYPERLINK("https://yt3.ggpht.com/a/AATXAJw-7Eff-YYZVb8zzcjYeTqO9fv088fnCobkkg=s88-c-k-c0xffffffff-no-rj-mo")</f>
        <v>https://yt3.ggpht.com/a/AATXAJw-7Eff-YYZVb8zzcjYeTqO9fv088fnCobkkg=s88-c-k-c0xffffffff-no-rj-mo</v>
      </c>
      <c r="AL22" s="80">
        <v>8491</v>
      </c>
      <c r="AM22" s="80">
        <v>0</v>
      </c>
      <c r="AN22" s="80">
        <v>8</v>
      </c>
      <c r="AO22" s="80" t="b">
        <v>0</v>
      </c>
      <c r="AP22" s="80">
        <v>10</v>
      </c>
      <c r="AQ22" s="80"/>
      <c r="AR22" s="80"/>
      <c r="AS22" s="80" t="s">
        <v>230</v>
      </c>
      <c r="AT22" s="82" t="str">
        <f>HYPERLINK("https://www.youtube.com/channel/UCyFw7GgDJILLOxaRSxQ3Evw")</f>
        <v>https://www.youtube.com/channel/UCyFw7GgDJILLOxaRSxQ3Evw</v>
      </c>
      <c r="AU22" s="79" t="str">
        <f>REPLACE(INDEX(GroupVertices[Group],MATCH(Vertices[[#This Row],[Vertex]],GroupVertices[Vertex],0)),1,1,"")</f>
        <v>12</v>
      </c>
      <c r="AV22" s="48"/>
      <c r="AW22" s="49"/>
      <c r="AX22" s="48"/>
      <c r="AY22" s="49"/>
      <c r="AZ22" s="48"/>
      <c r="BA22" s="49"/>
      <c r="BB22" s="48"/>
      <c r="BC22" s="49"/>
      <c r="BD22" s="48"/>
      <c r="BE22" s="120" t="s">
        <v>408</v>
      </c>
      <c r="BF22" s="120" t="s">
        <v>408</v>
      </c>
      <c r="BG22" s="120" t="s">
        <v>408</v>
      </c>
      <c r="BH22" s="120" t="s">
        <v>408</v>
      </c>
      <c r="BI22" s="2"/>
      <c r="BJ22" s="3"/>
      <c r="BK22" s="3"/>
      <c r="BL22" s="3"/>
      <c r="BM22" s="3"/>
    </row>
    <row r="23" spans="1:65" ht="15">
      <c r="A23" s="65" t="s">
        <v>465</v>
      </c>
      <c r="B23" s="66"/>
      <c r="C23" s="66"/>
      <c r="D23" s="67">
        <v>200</v>
      </c>
      <c r="E23" s="127"/>
      <c r="F23" s="98" t="str">
        <f>HYPERLINK("https://yt3.ggpht.com/a/AATXAJyqADhJzIaOfjFxu8f9xC0KMuEpP1A36nMvJw=s88-c-k-c0xffffffff-no-rj-mo")</f>
        <v>https://yt3.ggpht.com/a/AATXAJyqADhJzIaOfjFxu8f9xC0KMuEpP1A36nMvJw=s88-c-k-c0xffffffff-no-rj-mo</v>
      </c>
      <c r="G23" s="128"/>
      <c r="H23" s="70" t="s">
        <v>927</v>
      </c>
      <c r="I23" s="71"/>
      <c r="J23" s="129"/>
      <c r="K23" s="70" t="s">
        <v>927</v>
      </c>
      <c r="L23" s="130">
        <v>1</v>
      </c>
      <c r="M23" s="75">
        <v>6663.54052734375</v>
      </c>
      <c r="N23" s="75">
        <v>7395.95458984375</v>
      </c>
      <c r="O23" s="76"/>
      <c r="P23" s="77"/>
      <c r="Q23" s="77"/>
      <c r="R23" s="131"/>
      <c r="S23" s="48">
        <v>0</v>
      </c>
      <c r="T23" s="48">
        <v>1</v>
      </c>
      <c r="U23" s="49">
        <v>0</v>
      </c>
      <c r="V23" s="49">
        <v>0.006289</v>
      </c>
      <c r="W23" s="49">
        <v>0.0053</v>
      </c>
      <c r="X23" s="49">
        <v>0.513765</v>
      </c>
      <c r="Y23" s="49">
        <v>0</v>
      </c>
      <c r="Z23" s="49">
        <v>0</v>
      </c>
      <c r="AA23" s="72">
        <v>23</v>
      </c>
      <c r="AB23" s="72"/>
      <c r="AC23" s="73"/>
      <c r="AD23" s="80" t="s">
        <v>927</v>
      </c>
      <c r="AE23" s="80"/>
      <c r="AF23" s="80"/>
      <c r="AG23" s="80"/>
      <c r="AH23" s="80"/>
      <c r="AI23" s="80"/>
      <c r="AJ23" s="84">
        <v>41524.48121527778</v>
      </c>
      <c r="AK23" s="82" t="str">
        <f>HYPERLINK("https://yt3.ggpht.com/a/AATXAJyqADhJzIaOfjFxu8f9xC0KMuEpP1A36nMvJw=s88-c-k-c0xffffffff-no-rj-mo")</f>
        <v>https://yt3.ggpht.com/a/AATXAJyqADhJzIaOfjFxu8f9xC0KMuEpP1A36nMvJw=s88-c-k-c0xffffffff-no-rj-mo</v>
      </c>
      <c r="AL23" s="80">
        <v>0</v>
      </c>
      <c r="AM23" s="80">
        <v>0</v>
      </c>
      <c r="AN23" s="80">
        <v>0</v>
      </c>
      <c r="AO23" s="80" t="b">
        <v>0</v>
      </c>
      <c r="AP23" s="80">
        <v>0</v>
      </c>
      <c r="AQ23" s="80"/>
      <c r="AR23" s="80"/>
      <c r="AS23" s="80" t="s">
        <v>230</v>
      </c>
      <c r="AT23" s="82" t="str">
        <f>HYPERLINK("https://www.youtube.com/channel/UC4Cp2U9nRaj2f60M-Dn1q2w")</f>
        <v>https://www.youtube.com/channel/UC4Cp2U9nRaj2f60M-Dn1q2w</v>
      </c>
      <c r="AU23" s="79" t="str">
        <f>REPLACE(INDEX(GroupVertices[Group],MATCH(Vertices[[#This Row],[Vertex]],GroupVertices[Vertex],0)),1,1,"")</f>
        <v>12</v>
      </c>
      <c r="AV23" s="48"/>
      <c r="AW23" s="49"/>
      <c r="AX23" s="48"/>
      <c r="AY23" s="49"/>
      <c r="AZ23" s="48"/>
      <c r="BA23" s="49"/>
      <c r="BB23" s="48"/>
      <c r="BC23" s="49"/>
      <c r="BD23" s="48"/>
      <c r="BE23" s="120" t="s">
        <v>408</v>
      </c>
      <c r="BF23" s="120" t="s">
        <v>408</v>
      </c>
      <c r="BG23" s="120" t="s">
        <v>408</v>
      </c>
      <c r="BH23" s="120" t="s">
        <v>408</v>
      </c>
      <c r="BI23" s="2"/>
      <c r="BJ23" s="3"/>
      <c r="BK23" s="3"/>
      <c r="BL23" s="3"/>
      <c r="BM23" s="3"/>
    </row>
    <row r="24" spans="1:65" ht="15">
      <c r="A24" s="65" t="s">
        <v>466</v>
      </c>
      <c r="B24" s="66"/>
      <c r="C24" s="66"/>
      <c r="D24" s="67">
        <v>200</v>
      </c>
      <c r="E24" s="127"/>
      <c r="F24" s="98" t="str">
        <f>HYPERLINK("https://yt3.ggpht.com/a/AATXAJwupZkz2Peq9zPwvGDHj24tlboocVp8bGEl7Q=s88-c-k-c0xffffffff-no-rj-mo")</f>
        <v>https://yt3.ggpht.com/a/AATXAJwupZkz2Peq9zPwvGDHj24tlboocVp8bGEl7Q=s88-c-k-c0xffffffff-no-rj-mo</v>
      </c>
      <c r="G24" s="128"/>
      <c r="H24" s="70" t="s">
        <v>928</v>
      </c>
      <c r="I24" s="71"/>
      <c r="J24" s="129"/>
      <c r="K24" s="70" t="s">
        <v>928</v>
      </c>
      <c r="L24" s="130">
        <v>1</v>
      </c>
      <c r="M24" s="75">
        <v>8802.3115234375</v>
      </c>
      <c r="N24" s="75">
        <v>9305.7314453125</v>
      </c>
      <c r="O24" s="76"/>
      <c r="P24" s="77"/>
      <c r="Q24" s="77"/>
      <c r="R24" s="131"/>
      <c r="S24" s="48">
        <v>0</v>
      </c>
      <c r="T24" s="48">
        <v>1</v>
      </c>
      <c r="U24" s="49">
        <v>0</v>
      </c>
      <c r="V24" s="49">
        <v>0.006289</v>
      </c>
      <c r="W24" s="49">
        <v>0.005539</v>
      </c>
      <c r="X24" s="49">
        <v>0.502757</v>
      </c>
      <c r="Y24" s="49">
        <v>0</v>
      </c>
      <c r="Z24" s="49">
        <v>0</v>
      </c>
      <c r="AA24" s="72">
        <v>24</v>
      </c>
      <c r="AB24" s="72"/>
      <c r="AC24" s="73"/>
      <c r="AD24" s="80" t="s">
        <v>928</v>
      </c>
      <c r="AE24" s="80"/>
      <c r="AF24" s="80"/>
      <c r="AG24" s="80"/>
      <c r="AH24" s="80"/>
      <c r="AI24" s="80" t="s">
        <v>1404</v>
      </c>
      <c r="AJ24" s="84">
        <v>40430.178506944445</v>
      </c>
      <c r="AK24" s="82" t="str">
        <f>HYPERLINK("https://yt3.ggpht.com/a/AATXAJwupZkz2Peq9zPwvGDHj24tlboocVp8bGEl7Q=s88-c-k-c0xffffffff-no-rj-mo")</f>
        <v>https://yt3.ggpht.com/a/AATXAJwupZkz2Peq9zPwvGDHj24tlboocVp8bGEl7Q=s88-c-k-c0xffffffff-no-rj-mo</v>
      </c>
      <c r="AL24" s="80">
        <v>503</v>
      </c>
      <c r="AM24" s="80">
        <v>0</v>
      </c>
      <c r="AN24" s="80">
        <v>0</v>
      </c>
      <c r="AO24" s="80" t="b">
        <v>0</v>
      </c>
      <c r="AP24" s="80">
        <v>1</v>
      </c>
      <c r="AQ24" s="80"/>
      <c r="AR24" s="80"/>
      <c r="AS24" s="80" t="s">
        <v>230</v>
      </c>
      <c r="AT24" s="82" t="str">
        <f>HYPERLINK("https://www.youtube.com/channel/UCrbjWUC-Mdeh7_0n7pDurWg")</f>
        <v>https://www.youtube.com/channel/UCrbjWUC-Mdeh7_0n7pDurWg</v>
      </c>
      <c r="AU24" s="79" t="str">
        <f>REPLACE(INDEX(GroupVertices[Group],MATCH(Vertices[[#This Row],[Vertex]],GroupVertices[Vertex],0)),1,1,"")</f>
        <v>11</v>
      </c>
      <c r="AV24" s="48"/>
      <c r="AW24" s="49"/>
      <c r="AX24" s="48"/>
      <c r="AY24" s="49"/>
      <c r="AZ24" s="48"/>
      <c r="BA24" s="49"/>
      <c r="BB24" s="48"/>
      <c r="BC24" s="49"/>
      <c r="BD24" s="48"/>
      <c r="BE24" s="120" t="s">
        <v>408</v>
      </c>
      <c r="BF24" s="120" t="s">
        <v>408</v>
      </c>
      <c r="BG24" s="120" t="s">
        <v>408</v>
      </c>
      <c r="BH24" s="120" t="s">
        <v>408</v>
      </c>
      <c r="BI24" s="2"/>
      <c r="BJ24" s="3"/>
      <c r="BK24" s="3"/>
      <c r="BL24" s="3"/>
      <c r="BM24" s="3"/>
    </row>
    <row r="25" spans="1:65" ht="15">
      <c r="A25" s="65" t="s">
        <v>470</v>
      </c>
      <c r="B25" s="66"/>
      <c r="C25" s="66"/>
      <c r="D25" s="67">
        <v>1000</v>
      </c>
      <c r="E25" s="127"/>
      <c r="F25" s="98" t="str">
        <f>HYPERLINK("https://yt3.ggpht.com/a/AATXAJw10b_u5VmEBttdKndLlSO9bpzmWTl_MdCFHQ=s88-c-k-c0xffffffff-no-rj-mo")</f>
        <v>https://yt3.ggpht.com/a/AATXAJw10b_u5VmEBttdKndLlSO9bpzmWTl_MdCFHQ=s88-c-k-c0xffffffff-no-rj-mo</v>
      </c>
      <c r="G25" s="128"/>
      <c r="H25" s="70" t="s">
        <v>932</v>
      </c>
      <c r="I25" s="71"/>
      <c r="J25" s="129"/>
      <c r="K25" s="70" t="s">
        <v>932</v>
      </c>
      <c r="L25" s="130">
        <v>1613.5806451612902</v>
      </c>
      <c r="M25" s="75">
        <v>9165.986328125</v>
      </c>
      <c r="N25" s="75">
        <v>8723.431640625</v>
      </c>
      <c r="O25" s="76"/>
      <c r="P25" s="77"/>
      <c r="Q25" s="77"/>
      <c r="R25" s="131"/>
      <c r="S25" s="48">
        <v>5</v>
      </c>
      <c r="T25" s="48">
        <v>2</v>
      </c>
      <c r="U25" s="49">
        <v>333</v>
      </c>
      <c r="V25" s="49">
        <v>0.009091</v>
      </c>
      <c r="W25" s="49">
        <v>0.032479</v>
      </c>
      <c r="X25" s="49">
        <v>2.490054</v>
      </c>
      <c r="Y25" s="49">
        <v>0</v>
      </c>
      <c r="Z25" s="49">
        <v>0</v>
      </c>
      <c r="AA25" s="72">
        <v>25</v>
      </c>
      <c r="AB25" s="72"/>
      <c r="AC25" s="73"/>
      <c r="AD25" s="80" t="s">
        <v>932</v>
      </c>
      <c r="AE25" s="80"/>
      <c r="AF25" s="80"/>
      <c r="AG25" s="80"/>
      <c r="AH25" s="80"/>
      <c r="AI25" s="80"/>
      <c r="AJ25" s="84">
        <v>39691.64065972222</v>
      </c>
      <c r="AK25" s="82" t="str">
        <f>HYPERLINK("https://yt3.ggpht.com/a/AATXAJw10b_u5VmEBttdKndLlSO9bpzmWTl_MdCFHQ=s88-c-k-c0xffffffff-no-rj-mo")</f>
        <v>https://yt3.ggpht.com/a/AATXAJw10b_u5VmEBttdKndLlSO9bpzmWTl_MdCFHQ=s88-c-k-c0xffffffff-no-rj-mo</v>
      </c>
      <c r="AL25" s="80">
        <v>276</v>
      </c>
      <c r="AM25" s="80">
        <v>0</v>
      </c>
      <c r="AN25" s="80">
        <v>4</v>
      </c>
      <c r="AO25" s="80" t="b">
        <v>0</v>
      </c>
      <c r="AP25" s="80">
        <v>1</v>
      </c>
      <c r="AQ25" s="80"/>
      <c r="AR25" s="80"/>
      <c r="AS25" s="80" t="s">
        <v>230</v>
      </c>
      <c r="AT25" s="82" t="str">
        <f>HYPERLINK("https://www.youtube.com/channel/UCa42o_SknwSL5LuQ1lnMwcw")</f>
        <v>https://www.youtube.com/channel/UCa42o_SknwSL5LuQ1lnMwcw</v>
      </c>
      <c r="AU25" s="79" t="str">
        <f>REPLACE(INDEX(GroupVertices[Group],MATCH(Vertices[[#This Row],[Vertex]],GroupVertices[Vertex],0)),1,1,"")</f>
        <v>11</v>
      </c>
      <c r="AV25" s="48"/>
      <c r="AW25" s="49"/>
      <c r="AX25" s="48"/>
      <c r="AY25" s="49"/>
      <c r="AZ25" s="48"/>
      <c r="BA25" s="49"/>
      <c r="BB25" s="48"/>
      <c r="BC25" s="49"/>
      <c r="BD25" s="48"/>
      <c r="BE25" s="120" t="s">
        <v>408</v>
      </c>
      <c r="BF25" s="120" t="s">
        <v>408</v>
      </c>
      <c r="BG25" s="120" t="s">
        <v>408</v>
      </c>
      <c r="BH25" s="120" t="s">
        <v>408</v>
      </c>
      <c r="BI25" s="2"/>
      <c r="BJ25" s="3"/>
      <c r="BK25" s="3"/>
      <c r="BL25" s="3"/>
      <c r="BM25" s="3"/>
    </row>
    <row r="26" spans="1:65" ht="15">
      <c r="A26" s="65" t="s">
        <v>467</v>
      </c>
      <c r="B26" s="66"/>
      <c r="C26" s="66"/>
      <c r="D26" s="67">
        <v>200</v>
      </c>
      <c r="E26" s="127"/>
      <c r="F26" s="98" t="str">
        <f>HYPERLINK("https://yt3.ggpht.com/a/AATXAJxVPtIqZDsZrC2hWZWfNfgKBN8zD4UOMPayVw=s88-c-k-c0xffffffff-no-rj-mo")</f>
        <v>https://yt3.ggpht.com/a/AATXAJxVPtIqZDsZrC2hWZWfNfgKBN8zD4UOMPayVw=s88-c-k-c0xffffffff-no-rj-mo</v>
      </c>
      <c r="G26" s="128"/>
      <c r="H26" s="70" t="s">
        <v>929</v>
      </c>
      <c r="I26" s="71"/>
      <c r="J26" s="129"/>
      <c r="K26" s="70" t="s">
        <v>929</v>
      </c>
      <c r="L26" s="130">
        <v>1</v>
      </c>
      <c r="M26" s="75">
        <v>9333.564453125</v>
      </c>
      <c r="N26" s="75">
        <v>9751.0908203125</v>
      </c>
      <c r="O26" s="76"/>
      <c r="P26" s="77"/>
      <c r="Q26" s="77"/>
      <c r="R26" s="131"/>
      <c r="S26" s="48">
        <v>0</v>
      </c>
      <c r="T26" s="48">
        <v>1</v>
      </c>
      <c r="U26" s="49">
        <v>0</v>
      </c>
      <c r="V26" s="49">
        <v>0.006289</v>
      </c>
      <c r="W26" s="49">
        <v>0.005539</v>
      </c>
      <c r="X26" s="49">
        <v>0.502757</v>
      </c>
      <c r="Y26" s="49">
        <v>0</v>
      </c>
      <c r="Z26" s="49">
        <v>0</v>
      </c>
      <c r="AA26" s="72">
        <v>26</v>
      </c>
      <c r="AB26" s="72"/>
      <c r="AC26" s="73"/>
      <c r="AD26" s="80" t="s">
        <v>929</v>
      </c>
      <c r="AE26" s="80"/>
      <c r="AF26" s="80"/>
      <c r="AG26" s="80"/>
      <c r="AH26" s="80"/>
      <c r="AI26" s="80" t="s">
        <v>1405</v>
      </c>
      <c r="AJ26" s="84">
        <v>40004.676724537036</v>
      </c>
      <c r="AK26" s="82" t="str">
        <f>HYPERLINK("https://yt3.ggpht.com/a/AATXAJxVPtIqZDsZrC2hWZWfNfgKBN8zD4UOMPayVw=s88-c-k-c0xffffffff-no-rj-mo")</f>
        <v>https://yt3.ggpht.com/a/AATXAJxVPtIqZDsZrC2hWZWfNfgKBN8zD4UOMPayVw=s88-c-k-c0xffffffff-no-rj-mo</v>
      </c>
      <c r="AL26" s="80">
        <v>19567</v>
      </c>
      <c r="AM26" s="80">
        <v>0</v>
      </c>
      <c r="AN26" s="80">
        <v>18</v>
      </c>
      <c r="AO26" s="80" t="b">
        <v>0</v>
      </c>
      <c r="AP26" s="80">
        <v>7</v>
      </c>
      <c r="AQ26" s="80"/>
      <c r="AR26" s="80"/>
      <c r="AS26" s="80" t="s">
        <v>230</v>
      </c>
      <c r="AT26" s="82" t="str">
        <f>HYPERLINK("https://www.youtube.com/channel/UCYd47UFQE9MItXf23YcYV6w")</f>
        <v>https://www.youtube.com/channel/UCYd47UFQE9MItXf23YcYV6w</v>
      </c>
      <c r="AU26" s="79" t="str">
        <f>REPLACE(INDEX(GroupVertices[Group],MATCH(Vertices[[#This Row],[Vertex]],GroupVertices[Vertex],0)),1,1,"")</f>
        <v>11</v>
      </c>
      <c r="AV26" s="48"/>
      <c r="AW26" s="49"/>
      <c r="AX26" s="48"/>
      <c r="AY26" s="49"/>
      <c r="AZ26" s="48"/>
      <c r="BA26" s="49"/>
      <c r="BB26" s="48"/>
      <c r="BC26" s="49"/>
      <c r="BD26" s="48"/>
      <c r="BE26" s="120" t="s">
        <v>408</v>
      </c>
      <c r="BF26" s="120" t="s">
        <v>408</v>
      </c>
      <c r="BG26" s="120" t="s">
        <v>408</v>
      </c>
      <c r="BH26" s="120" t="s">
        <v>408</v>
      </c>
      <c r="BI26" s="2"/>
      <c r="BJ26" s="3"/>
      <c r="BK26" s="3"/>
      <c r="BL26" s="3"/>
      <c r="BM26" s="3"/>
    </row>
    <row r="27" spans="1:65" ht="15">
      <c r="A27" s="65" t="s">
        <v>468</v>
      </c>
      <c r="B27" s="66"/>
      <c r="C27" s="66"/>
      <c r="D27" s="67">
        <v>200</v>
      </c>
      <c r="E27" s="127"/>
      <c r="F27" s="98" t="str">
        <f>HYPERLINK("https://yt3.ggpht.com/a/AATXAJy1EFwqh0fg0hV-j8-TwEZuO14fD3BhO8g6eQ=s88-c-k-c0xffffffff-no-rj-mo")</f>
        <v>https://yt3.ggpht.com/a/AATXAJy1EFwqh0fg0hV-j8-TwEZuO14fD3BhO8g6eQ=s88-c-k-c0xffffffff-no-rj-mo</v>
      </c>
      <c r="G27" s="128"/>
      <c r="H27" s="70" t="s">
        <v>930</v>
      </c>
      <c r="I27" s="71"/>
      <c r="J27" s="129"/>
      <c r="K27" s="70" t="s">
        <v>930</v>
      </c>
      <c r="L27" s="130">
        <v>1</v>
      </c>
      <c r="M27" s="75">
        <v>8856.4873046875</v>
      </c>
      <c r="N27" s="75">
        <v>7881.6865234375</v>
      </c>
      <c r="O27" s="76"/>
      <c r="P27" s="77"/>
      <c r="Q27" s="77"/>
      <c r="R27" s="131"/>
      <c r="S27" s="48">
        <v>0</v>
      </c>
      <c r="T27" s="48">
        <v>1</v>
      </c>
      <c r="U27" s="49">
        <v>0</v>
      </c>
      <c r="V27" s="49">
        <v>0.006289</v>
      </c>
      <c r="W27" s="49">
        <v>0.005539</v>
      </c>
      <c r="X27" s="49">
        <v>0.502757</v>
      </c>
      <c r="Y27" s="49">
        <v>0</v>
      </c>
      <c r="Z27" s="49">
        <v>0</v>
      </c>
      <c r="AA27" s="72">
        <v>27</v>
      </c>
      <c r="AB27" s="72"/>
      <c r="AC27" s="73"/>
      <c r="AD27" s="80" t="s">
        <v>930</v>
      </c>
      <c r="AE27" s="80"/>
      <c r="AF27" s="80"/>
      <c r="AG27" s="80"/>
      <c r="AH27" s="80"/>
      <c r="AI27" s="80"/>
      <c r="AJ27" s="84">
        <v>41165.766805555555</v>
      </c>
      <c r="AK27" s="82" t="str">
        <f>HYPERLINK("https://yt3.ggpht.com/a/AATXAJy1EFwqh0fg0hV-j8-TwEZuO14fD3BhO8g6eQ=s88-c-k-c0xffffffff-no-rj-mo")</f>
        <v>https://yt3.ggpht.com/a/AATXAJy1EFwqh0fg0hV-j8-TwEZuO14fD3BhO8g6eQ=s88-c-k-c0xffffffff-no-rj-mo</v>
      </c>
      <c r="AL27" s="80">
        <v>0</v>
      </c>
      <c r="AM27" s="80">
        <v>0</v>
      </c>
      <c r="AN27" s="80">
        <v>0</v>
      </c>
      <c r="AO27" s="80" t="b">
        <v>0</v>
      </c>
      <c r="AP27" s="80">
        <v>0</v>
      </c>
      <c r="AQ27" s="80"/>
      <c r="AR27" s="80"/>
      <c r="AS27" s="80" t="s">
        <v>230</v>
      </c>
      <c r="AT27" s="82" t="str">
        <f>HYPERLINK("https://www.youtube.com/channel/UCwtsbXpgdKO6QPdXlYkkPmQ")</f>
        <v>https://www.youtube.com/channel/UCwtsbXpgdKO6QPdXlYkkPmQ</v>
      </c>
      <c r="AU27" s="79" t="str">
        <f>REPLACE(INDEX(GroupVertices[Group],MATCH(Vertices[[#This Row],[Vertex]],GroupVertices[Vertex],0)),1,1,"")</f>
        <v>11</v>
      </c>
      <c r="AV27" s="48"/>
      <c r="AW27" s="49"/>
      <c r="AX27" s="48"/>
      <c r="AY27" s="49"/>
      <c r="AZ27" s="48"/>
      <c r="BA27" s="49"/>
      <c r="BB27" s="48"/>
      <c r="BC27" s="49"/>
      <c r="BD27" s="48"/>
      <c r="BE27" s="120" t="s">
        <v>408</v>
      </c>
      <c r="BF27" s="120" t="s">
        <v>408</v>
      </c>
      <c r="BG27" s="120" t="s">
        <v>408</v>
      </c>
      <c r="BH27" s="120" t="s">
        <v>408</v>
      </c>
      <c r="BI27" s="2"/>
      <c r="BJ27" s="3"/>
      <c r="BK27" s="3"/>
      <c r="BL27" s="3"/>
      <c r="BM27" s="3"/>
    </row>
    <row r="28" spans="1:65" ht="15">
      <c r="A28" s="65" t="s">
        <v>469</v>
      </c>
      <c r="B28" s="66"/>
      <c r="C28" s="66"/>
      <c r="D28" s="67">
        <v>200</v>
      </c>
      <c r="E28" s="127"/>
      <c r="F28" s="98" t="str">
        <f>HYPERLINK("https://yt3.ggpht.com/a/AATXAJxN2QFk7Wv7-VNQW_LiWnttKqeJCR2jG_ksSw=s88-c-k-c0xffffffff-no-rj-mo")</f>
        <v>https://yt3.ggpht.com/a/AATXAJxN2QFk7Wv7-VNQW_LiWnttKqeJCR2jG_ksSw=s88-c-k-c0xffffffff-no-rj-mo</v>
      </c>
      <c r="G28" s="128"/>
      <c r="H28" s="70" t="s">
        <v>931</v>
      </c>
      <c r="I28" s="71"/>
      <c r="J28" s="129"/>
      <c r="K28" s="70" t="s">
        <v>931</v>
      </c>
      <c r="L28" s="130">
        <v>1</v>
      </c>
      <c r="M28" s="75">
        <v>9526.3349609375</v>
      </c>
      <c r="N28" s="75">
        <v>8146.47021484375</v>
      </c>
      <c r="O28" s="76"/>
      <c r="P28" s="77"/>
      <c r="Q28" s="77"/>
      <c r="R28" s="131"/>
      <c r="S28" s="48">
        <v>0</v>
      </c>
      <c r="T28" s="48">
        <v>2</v>
      </c>
      <c r="U28" s="49">
        <v>4</v>
      </c>
      <c r="V28" s="49">
        <v>0.006369</v>
      </c>
      <c r="W28" s="49">
        <v>0.009641</v>
      </c>
      <c r="X28" s="49">
        <v>0.866245</v>
      </c>
      <c r="Y28" s="49">
        <v>0</v>
      </c>
      <c r="Z28" s="49">
        <v>0</v>
      </c>
      <c r="AA28" s="72">
        <v>28</v>
      </c>
      <c r="AB28" s="72"/>
      <c r="AC28" s="73"/>
      <c r="AD28" s="80" t="s">
        <v>931</v>
      </c>
      <c r="AE28" s="80"/>
      <c r="AF28" s="80"/>
      <c r="AG28" s="80"/>
      <c r="AH28" s="80"/>
      <c r="AI28" s="80" t="s">
        <v>1406</v>
      </c>
      <c r="AJ28" s="84">
        <v>40640.551458333335</v>
      </c>
      <c r="AK28" s="82" t="str">
        <f>HYPERLINK("https://yt3.ggpht.com/a/AATXAJxN2QFk7Wv7-VNQW_LiWnttKqeJCR2jG_ksSw=s88-c-k-c0xffffffff-no-rj-mo")</f>
        <v>https://yt3.ggpht.com/a/AATXAJxN2QFk7Wv7-VNQW_LiWnttKqeJCR2jG_ksSw=s88-c-k-c0xffffffff-no-rj-mo</v>
      </c>
      <c r="AL28" s="80">
        <v>0</v>
      </c>
      <c r="AM28" s="80">
        <v>0</v>
      </c>
      <c r="AN28" s="80">
        <v>0</v>
      </c>
      <c r="AO28" s="80" t="b">
        <v>0</v>
      </c>
      <c r="AP28" s="80">
        <v>0</v>
      </c>
      <c r="AQ28" s="80"/>
      <c r="AR28" s="80"/>
      <c r="AS28" s="80" t="s">
        <v>230</v>
      </c>
      <c r="AT28" s="82" t="str">
        <f>HYPERLINK("https://www.youtube.com/channel/UC3qA8S5n70Al1RdjujIaWrQ")</f>
        <v>https://www.youtube.com/channel/UC3qA8S5n70Al1RdjujIaWrQ</v>
      </c>
      <c r="AU28" s="79" t="str">
        <f>REPLACE(INDEX(GroupVertices[Group],MATCH(Vertices[[#This Row],[Vertex]],GroupVertices[Vertex],0)),1,1,"")</f>
        <v>11</v>
      </c>
      <c r="AV28" s="48"/>
      <c r="AW28" s="49"/>
      <c r="AX28" s="48"/>
      <c r="AY28" s="49"/>
      <c r="AZ28" s="48"/>
      <c r="BA28" s="49"/>
      <c r="BB28" s="48"/>
      <c r="BC28" s="49"/>
      <c r="BD28" s="48"/>
      <c r="BE28" s="120" t="s">
        <v>408</v>
      </c>
      <c r="BF28" s="120" t="s">
        <v>408</v>
      </c>
      <c r="BG28" s="120" t="s">
        <v>408</v>
      </c>
      <c r="BH28" s="120" t="s">
        <v>408</v>
      </c>
      <c r="BI28" s="2"/>
      <c r="BJ28" s="3"/>
      <c r="BK28" s="3"/>
      <c r="BL28" s="3"/>
      <c r="BM28" s="3"/>
    </row>
    <row r="29" spans="1:65" ht="15">
      <c r="A29" s="65" t="s">
        <v>471</v>
      </c>
      <c r="B29" s="66"/>
      <c r="C29" s="66"/>
      <c r="D29" s="67">
        <v>200</v>
      </c>
      <c r="E29" s="127"/>
      <c r="F29" s="98" t="str">
        <f>HYPERLINK("https://yt3.ggpht.com/a/AATXAJwyZNjB0YhJKLsqt3WpsC1omMXgxfJvRH19TQ=s88-c-k-c0xffffffff-no-rj-mo")</f>
        <v>https://yt3.ggpht.com/a/AATXAJwyZNjB0YhJKLsqt3WpsC1omMXgxfJvRH19TQ=s88-c-k-c0xffffffff-no-rj-mo</v>
      </c>
      <c r="G29" s="128"/>
      <c r="H29" s="70" t="s">
        <v>933</v>
      </c>
      <c r="I29" s="71"/>
      <c r="J29" s="129"/>
      <c r="K29" s="70" t="s">
        <v>933</v>
      </c>
      <c r="L29" s="130">
        <v>1</v>
      </c>
      <c r="M29" s="75">
        <v>2521.482421875</v>
      </c>
      <c r="N29" s="75">
        <v>4250.5927734375</v>
      </c>
      <c r="O29" s="76"/>
      <c r="P29" s="77"/>
      <c r="Q29" s="77"/>
      <c r="R29" s="131"/>
      <c r="S29" s="48">
        <v>0</v>
      </c>
      <c r="T29" s="48">
        <v>3</v>
      </c>
      <c r="U29" s="49">
        <v>8</v>
      </c>
      <c r="V29" s="49">
        <v>0.006369</v>
      </c>
      <c r="W29" s="49">
        <v>0.013866</v>
      </c>
      <c r="X29" s="49">
        <v>1.18823</v>
      </c>
      <c r="Y29" s="49">
        <v>0</v>
      </c>
      <c r="Z29" s="49">
        <v>0</v>
      </c>
      <c r="AA29" s="72">
        <v>29</v>
      </c>
      <c r="AB29" s="72"/>
      <c r="AC29" s="73"/>
      <c r="AD29" s="80" t="s">
        <v>933</v>
      </c>
      <c r="AE29" s="80"/>
      <c r="AF29" s="80"/>
      <c r="AG29" s="80"/>
      <c r="AH29" s="80"/>
      <c r="AI29" s="80" t="s">
        <v>1407</v>
      </c>
      <c r="AJ29" s="84">
        <v>40819.78335648148</v>
      </c>
      <c r="AK29" s="82" t="str">
        <f>HYPERLINK("https://yt3.ggpht.com/a/AATXAJwyZNjB0YhJKLsqt3WpsC1omMXgxfJvRH19TQ=s88-c-k-c0xffffffff-no-rj-mo")</f>
        <v>https://yt3.ggpht.com/a/AATXAJwyZNjB0YhJKLsqt3WpsC1omMXgxfJvRH19TQ=s88-c-k-c0xffffffff-no-rj-mo</v>
      </c>
      <c r="AL29" s="80">
        <v>32</v>
      </c>
      <c r="AM29" s="80">
        <v>0</v>
      </c>
      <c r="AN29" s="80">
        <v>0</v>
      </c>
      <c r="AO29" s="80" t="b">
        <v>0</v>
      </c>
      <c r="AP29" s="80">
        <v>1</v>
      </c>
      <c r="AQ29" s="80"/>
      <c r="AR29" s="80"/>
      <c r="AS29" s="80" t="s">
        <v>230</v>
      </c>
      <c r="AT29" s="82" t="str">
        <f>HYPERLINK("https://www.youtube.com/channel/UCyLKEV3oi9IM2azD6meg7mQ")</f>
        <v>https://www.youtube.com/channel/UCyLKEV3oi9IM2azD6meg7mQ</v>
      </c>
      <c r="AU29" s="79" t="str">
        <f>REPLACE(INDEX(GroupVertices[Group],MATCH(Vertices[[#This Row],[Vertex]],GroupVertices[Vertex],0)),1,1,"")</f>
        <v>2</v>
      </c>
      <c r="AV29" s="48"/>
      <c r="AW29" s="49"/>
      <c r="AX29" s="48"/>
      <c r="AY29" s="49"/>
      <c r="AZ29" s="48"/>
      <c r="BA29" s="49"/>
      <c r="BB29" s="48"/>
      <c r="BC29" s="49"/>
      <c r="BD29" s="48"/>
      <c r="BE29" s="120" t="s">
        <v>408</v>
      </c>
      <c r="BF29" s="120" t="s">
        <v>408</v>
      </c>
      <c r="BG29" s="120" t="s">
        <v>408</v>
      </c>
      <c r="BH29" s="120" t="s">
        <v>408</v>
      </c>
      <c r="BI29" s="2"/>
      <c r="BJ29" s="3"/>
      <c r="BK29" s="3"/>
      <c r="BL29" s="3"/>
      <c r="BM29" s="3"/>
    </row>
    <row r="30" spans="1:65" ht="15">
      <c r="A30" s="65" t="s">
        <v>472</v>
      </c>
      <c r="B30" s="66"/>
      <c r="C30" s="66"/>
      <c r="D30" s="67">
        <v>466.6666666666667</v>
      </c>
      <c r="E30" s="127"/>
      <c r="F30" s="98" t="str">
        <f>HYPERLINK("https://yt3.ggpht.com/a/AATXAJyKgg9lLjMQ9TvTcxsKMnrpKU3cMiSS3ePbdg=s88-c-k-c0xffffffff-no-rj-mo")</f>
        <v>https://yt3.ggpht.com/a/AATXAJyKgg9lLjMQ9TvTcxsKMnrpKU3cMiSS3ePbdg=s88-c-k-c0xffffffff-no-rj-mo</v>
      </c>
      <c r="G30" s="128"/>
      <c r="H30" s="70" t="s">
        <v>934</v>
      </c>
      <c r="I30" s="71"/>
      <c r="J30" s="129"/>
      <c r="K30" s="70" t="s">
        <v>934</v>
      </c>
      <c r="L30" s="130">
        <v>323.51612903225805</v>
      </c>
      <c r="M30" s="75">
        <v>2197.52197265625</v>
      </c>
      <c r="N30" s="75">
        <v>3334.93701171875</v>
      </c>
      <c r="O30" s="76"/>
      <c r="P30" s="77"/>
      <c r="Q30" s="77"/>
      <c r="R30" s="131"/>
      <c r="S30" s="48">
        <v>1</v>
      </c>
      <c r="T30" s="48">
        <v>1</v>
      </c>
      <c r="U30" s="49">
        <v>30</v>
      </c>
      <c r="V30" s="49">
        <v>0.008621</v>
      </c>
      <c r="W30" s="49">
        <v>0.024813</v>
      </c>
      <c r="X30" s="49">
        <v>0.823777</v>
      </c>
      <c r="Y30" s="49">
        <v>0</v>
      </c>
      <c r="Z30" s="49">
        <v>0</v>
      </c>
      <c r="AA30" s="72">
        <v>30</v>
      </c>
      <c r="AB30" s="72"/>
      <c r="AC30" s="73"/>
      <c r="AD30" s="80" t="s">
        <v>934</v>
      </c>
      <c r="AE30" s="80"/>
      <c r="AF30" s="80"/>
      <c r="AG30" s="80"/>
      <c r="AH30" s="80"/>
      <c r="AI30" s="80"/>
      <c r="AJ30" s="84">
        <v>42194.43329861111</v>
      </c>
      <c r="AK30" s="82" t="str">
        <f>HYPERLINK("https://yt3.ggpht.com/a/AATXAJyKgg9lLjMQ9TvTcxsKMnrpKU3cMiSS3ePbdg=s88-c-k-c0xffffffff-no-rj-mo")</f>
        <v>https://yt3.ggpht.com/a/AATXAJyKgg9lLjMQ9TvTcxsKMnrpKU3cMiSS3ePbdg=s88-c-k-c0xffffffff-no-rj-mo</v>
      </c>
      <c r="AL30" s="80">
        <v>0</v>
      </c>
      <c r="AM30" s="80">
        <v>0</v>
      </c>
      <c r="AN30" s="80">
        <v>0</v>
      </c>
      <c r="AO30" s="80" t="b">
        <v>0</v>
      </c>
      <c r="AP30" s="80">
        <v>0</v>
      </c>
      <c r="AQ30" s="80"/>
      <c r="AR30" s="80"/>
      <c r="AS30" s="80" t="s">
        <v>230</v>
      </c>
      <c r="AT30" s="82" t="str">
        <f>HYPERLINK("https://www.youtube.com/channel/UCs-QZxz2dXIwF1GKFu8mHyA")</f>
        <v>https://www.youtube.com/channel/UCs-QZxz2dXIwF1GKFu8mHyA</v>
      </c>
      <c r="AU30" s="79" t="str">
        <f>REPLACE(INDEX(GroupVertices[Group],MATCH(Vertices[[#This Row],[Vertex]],GroupVertices[Vertex],0)),1,1,"")</f>
        <v>2</v>
      </c>
      <c r="AV30" s="48"/>
      <c r="AW30" s="49"/>
      <c r="AX30" s="48"/>
      <c r="AY30" s="49"/>
      <c r="AZ30" s="48"/>
      <c r="BA30" s="49"/>
      <c r="BB30" s="48"/>
      <c r="BC30" s="49"/>
      <c r="BD30" s="48"/>
      <c r="BE30" s="120" t="s">
        <v>408</v>
      </c>
      <c r="BF30" s="120" t="s">
        <v>408</v>
      </c>
      <c r="BG30" s="120" t="s">
        <v>408</v>
      </c>
      <c r="BH30" s="120" t="s">
        <v>408</v>
      </c>
      <c r="BI30" s="2"/>
      <c r="BJ30" s="3"/>
      <c r="BK30" s="3"/>
      <c r="BL30" s="3"/>
      <c r="BM30" s="3"/>
    </row>
    <row r="31" spans="1:65" ht="15">
      <c r="A31" s="65" t="s">
        <v>473</v>
      </c>
      <c r="B31" s="66"/>
      <c r="C31" s="66"/>
      <c r="D31" s="67">
        <v>200</v>
      </c>
      <c r="E31" s="127"/>
      <c r="F31" s="98" t="str">
        <f>HYPERLINK("https://yt3.ggpht.com/a/AATXAJwZKm4Pt3zEJ5-0bLdaWqCJZug3v_0M3jlR7w=s88-c-k-c0xffffffff-no-rj-mo")</f>
        <v>https://yt3.ggpht.com/a/AATXAJwZKm4Pt3zEJ5-0bLdaWqCJZug3v_0M3jlR7w=s88-c-k-c0xffffffff-no-rj-mo</v>
      </c>
      <c r="G31" s="128"/>
      <c r="H31" s="70" t="s">
        <v>935</v>
      </c>
      <c r="I31" s="71"/>
      <c r="J31" s="129"/>
      <c r="K31" s="70" t="s">
        <v>935</v>
      </c>
      <c r="L31" s="130">
        <v>1</v>
      </c>
      <c r="M31" s="75">
        <v>387.33154296875</v>
      </c>
      <c r="N31" s="75">
        <v>3573.3701171875</v>
      </c>
      <c r="O31" s="76"/>
      <c r="P31" s="77"/>
      <c r="Q31" s="77"/>
      <c r="R31" s="131"/>
      <c r="S31" s="48">
        <v>0</v>
      </c>
      <c r="T31" s="48">
        <v>1</v>
      </c>
      <c r="U31" s="49">
        <v>0</v>
      </c>
      <c r="V31" s="49">
        <v>0.006061</v>
      </c>
      <c r="W31" s="49">
        <v>0.003935</v>
      </c>
      <c r="X31" s="49">
        <v>0.558939</v>
      </c>
      <c r="Y31" s="49">
        <v>0</v>
      </c>
      <c r="Z31" s="49">
        <v>0</v>
      </c>
      <c r="AA31" s="72">
        <v>31</v>
      </c>
      <c r="AB31" s="72"/>
      <c r="AC31" s="73"/>
      <c r="AD31" s="80" t="s">
        <v>935</v>
      </c>
      <c r="AE31" s="80"/>
      <c r="AF31" s="80"/>
      <c r="AG31" s="80"/>
      <c r="AH31" s="80"/>
      <c r="AI31" s="80"/>
      <c r="AJ31" s="84">
        <v>40743.86565972222</v>
      </c>
      <c r="AK31" s="82" t="str">
        <f>HYPERLINK("https://yt3.ggpht.com/a/AATXAJwZKm4Pt3zEJ5-0bLdaWqCJZug3v_0M3jlR7w=s88-c-k-c0xffffffff-no-rj-mo")</f>
        <v>https://yt3.ggpht.com/a/AATXAJwZKm4Pt3zEJ5-0bLdaWqCJZug3v_0M3jlR7w=s88-c-k-c0xffffffff-no-rj-mo</v>
      </c>
      <c r="AL31" s="80">
        <v>583</v>
      </c>
      <c r="AM31" s="80">
        <v>0</v>
      </c>
      <c r="AN31" s="80">
        <v>2</v>
      </c>
      <c r="AO31" s="80" t="b">
        <v>0</v>
      </c>
      <c r="AP31" s="80">
        <v>8</v>
      </c>
      <c r="AQ31" s="80"/>
      <c r="AR31" s="80"/>
      <c r="AS31" s="80" t="s">
        <v>230</v>
      </c>
      <c r="AT31" s="82" t="str">
        <f>HYPERLINK("https://www.youtube.com/channel/UCcg3o79-LIs_2j9gQkfv6rg")</f>
        <v>https://www.youtube.com/channel/UCcg3o79-LIs_2j9gQkfv6rg</v>
      </c>
      <c r="AU31" s="79" t="str">
        <f>REPLACE(INDEX(GroupVertices[Group],MATCH(Vertices[[#This Row],[Vertex]],GroupVertices[Vertex],0)),1,1,"")</f>
        <v>2</v>
      </c>
      <c r="AV31" s="48"/>
      <c r="AW31" s="49"/>
      <c r="AX31" s="48"/>
      <c r="AY31" s="49"/>
      <c r="AZ31" s="48"/>
      <c r="BA31" s="49"/>
      <c r="BB31" s="48"/>
      <c r="BC31" s="49"/>
      <c r="BD31" s="48"/>
      <c r="BE31" s="120" t="s">
        <v>408</v>
      </c>
      <c r="BF31" s="120" t="s">
        <v>408</v>
      </c>
      <c r="BG31" s="120" t="s">
        <v>408</v>
      </c>
      <c r="BH31" s="120" t="s">
        <v>408</v>
      </c>
      <c r="BI31" s="2"/>
      <c r="BJ31" s="3"/>
      <c r="BK31" s="3"/>
      <c r="BL31" s="3"/>
      <c r="BM31" s="3"/>
    </row>
    <row r="32" spans="1:65" ht="15">
      <c r="A32" s="65" t="s">
        <v>474</v>
      </c>
      <c r="B32" s="66"/>
      <c r="C32" s="66"/>
      <c r="D32" s="67">
        <v>466.6666666666667</v>
      </c>
      <c r="E32" s="127"/>
      <c r="F32" s="98" t="str">
        <f>HYPERLINK("https://yt3.ggpht.com/a/AATXAJxsN2FaGeJ0CgT-QTv5CcNoY64EMet_UKM3qA=s88-c-k-c0xffffffff-no-rj-mo")</f>
        <v>https://yt3.ggpht.com/a/AATXAJxsN2FaGeJ0CgT-QTv5CcNoY64EMet_UKM3qA=s88-c-k-c0xffffffff-no-rj-mo</v>
      </c>
      <c r="G32" s="128"/>
      <c r="H32" s="70" t="s">
        <v>936</v>
      </c>
      <c r="I32" s="71"/>
      <c r="J32" s="129"/>
      <c r="K32" s="70" t="s">
        <v>936</v>
      </c>
      <c r="L32" s="130">
        <v>323.51612903225805</v>
      </c>
      <c r="M32" s="75">
        <v>1119.6201171875</v>
      </c>
      <c r="N32" s="75">
        <v>3076.70849609375</v>
      </c>
      <c r="O32" s="76"/>
      <c r="P32" s="77"/>
      <c r="Q32" s="77"/>
      <c r="R32" s="131"/>
      <c r="S32" s="48">
        <v>1</v>
      </c>
      <c r="T32" s="48">
        <v>1</v>
      </c>
      <c r="U32" s="49">
        <v>98</v>
      </c>
      <c r="V32" s="49">
        <v>0.008621</v>
      </c>
      <c r="W32" s="49">
        <v>0.023107</v>
      </c>
      <c r="X32" s="49">
        <v>0.962209</v>
      </c>
      <c r="Y32" s="49">
        <v>0</v>
      </c>
      <c r="Z32" s="49">
        <v>0</v>
      </c>
      <c r="AA32" s="72">
        <v>32</v>
      </c>
      <c r="AB32" s="72"/>
      <c r="AC32" s="73"/>
      <c r="AD32" s="80" t="s">
        <v>936</v>
      </c>
      <c r="AE32" s="80"/>
      <c r="AF32" s="80"/>
      <c r="AG32" s="80"/>
      <c r="AH32" s="80"/>
      <c r="AI32" s="80"/>
      <c r="AJ32" s="84">
        <v>43990.70943287037</v>
      </c>
      <c r="AK32" s="82" t="str">
        <f>HYPERLINK("https://yt3.ggpht.com/a/AATXAJxsN2FaGeJ0CgT-QTv5CcNoY64EMet_UKM3qA=s88-c-k-c0xffffffff-no-rj-mo")</f>
        <v>https://yt3.ggpht.com/a/AATXAJxsN2FaGeJ0CgT-QTv5CcNoY64EMet_UKM3qA=s88-c-k-c0xffffffff-no-rj-mo</v>
      </c>
      <c r="AL32" s="80">
        <v>0</v>
      </c>
      <c r="AM32" s="80">
        <v>0</v>
      </c>
      <c r="AN32" s="80">
        <v>0</v>
      </c>
      <c r="AO32" s="80" t="b">
        <v>0</v>
      </c>
      <c r="AP32" s="80">
        <v>0</v>
      </c>
      <c r="AQ32" s="80"/>
      <c r="AR32" s="80"/>
      <c r="AS32" s="80" t="s">
        <v>230</v>
      </c>
      <c r="AT32" s="82" t="str">
        <f>HYPERLINK("https://www.youtube.com/channel/UCEvuS17b5fKcdU--RU0rCVg")</f>
        <v>https://www.youtube.com/channel/UCEvuS17b5fKcdU--RU0rCVg</v>
      </c>
      <c r="AU32" s="79" t="str">
        <f>REPLACE(INDEX(GroupVertices[Group],MATCH(Vertices[[#This Row],[Vertex]],GroupVertices[Vertex],0)),1,1,"")</f>
        <v>2</v>
      </c>
      <c r="AV32" s="48"/>
      <c r="AW32" s="49"/>
      <c r="AX32" s="48"/>
      <c r="AY32" s="49"/>
      <c r="AZ32" s="48"/>
      <c r="BA32" s="49"/>
      <c r="BB32" s="48"/>
      <c r="BC32" s="49"/>
      <c r="BD32" s="48"/>
      <c r="BE32" s="120" t="s">
        <v>408</v>
      </c>
      <c r="BF32" s="120" t="s">
        <v>408</v>
      </c>
      <c r="BG32" s="120" t="s">
        <v>408</v>
      </c>
      <c r="BH32" s="120" t="s">
        <v>408</v>
      </c>
      <c r="BI32" s="2"/>
      <c r="BJ32" s="3"/>
      <c r="BK32" s="3"/>
      <c r="BL32" s="3"/>
      <c r="BM32" s="3"/>
    </row>
    <row r="33" spans="1:65" ht="15">
      <c r="A33" s="65" t="s">
        <v>475</v>
      </c>
      <c r="B33" s="66"/>
      <c r="C33" s="66"/>
      <c r="D33" s="67">
        <v>200</v>
      </c>
      <c r="E33" s="127"/>
      <c r="F33" s="98" t="str">
        <f>HYPERLINK("https://yt3.ggpht.com/a/AATXAJwYzZ8D1zEvAvNAnckP9VCUQiFSXKkcczgXgw=s88-c-k-c0xffffffff-no-rj-mo")</f>
        <v>https://yt3.ggpht.com/a/AATXAJwYzZ8D1zEvAvNAnckP9VCUQiFSXKkcczgXgw=s88-c-k-c0xffffffff-no-rj-mo</v>
      </c>
      <c r="G33" s="128"/>
      <c r="H33" s="70" t="s">
        <v>937</v>
      </c>
      <c r="I33" s="71"/>
      <c r="J33" s="129"/>
      <c r="K33" s="70" t="s">
        <v>937</v>
      </c>
      <c r="L33" s="130">
        <v>1</v>
      </c>
      <c r="M33" s="75">
        <v>1633.755126953125</v>
      </c>
      <c r="N33" s="75">
        <v>4545</v>
      </c>
      <c r="O33" s="76"/>
      <c r="P33" s="77"/>
      <c r="Q33" s="77"/>
      <c r="R33" s="131"/>
      <c r="S33" s="48">
        <v>0</v>
      </c>
      <c r="T33" s="48">
        <v>1</v>
      </c>
      <c r="U33" s="49">
        <v>0</v>
      </c>
      <c r="V33" s="49">
        <v>0.006135</v>
      </c>
      <c r="W33" s="49">
        <v>0.005288</v>
      </c>
      <c r="X33" s="49">
        <v>0.483093</v>
      </c>
      <c r="Y33" s="49">
        <v>0</v>
      </c>
      <c r="Z33" s="49">
        <v>0</v>
      </c>
      <c r="AA33" s="72">
        <v>33</v>
      </c>
      <c r="AB33" s="72"/>
      <c r="AC33" s="73"/>
      <c r="AD33" s="80" t="s">
        <v>937</v>
      </c>
      <c r="AE33" s="80"/>
      <c r="AF33" s="80"/>
      <c r="AG33" s="80"/>
      <c r="AH33" s="80"/>
      <c r="AI33" s="80"/>
      <c r="AJ33" s="84">
        <v>38984.78005787037</v>
      </c>
      <c r="AK33" s="82" t="str">
        <f>HYPERLINK("https://yt3.ggpht.com/a/AATXAJwYzZ8D1zEvAvNAnckP9VCUQiFSXKkcczgXgw=s88-c-k-c0xffffffff-no-rj-mo")</f>
        <v>https://yt3.ggpht.com/a/AATXAJwYzZ8D1zEvAvNAnckP9VCUQiFSXKkcczgXgw=s88-c-k-c0xffffffff-no-rj-mo</v>
      </c>
      <c r="AL33" s="80">
        <v>0</v>
      </c>
      <c r="AM33" s="80">
        <v>0</v>
      </c>
      <c r="AN33" s="80">
        <v>0</v>
      </c>
      <c r="AO33" s="80" t="b">
        <v>0</v>
      </c>
      <c r="AP33" s="80">
        <v>0</v>
      </c>
      <c r="AQ33" s="80"/>
      <c r="AR33" s="80"/>
      <c r="AS33" s="80" t="s">
        <v>230</v>
      </c>
      <c r="AT33" s="82" t="str">
        <f>HYPERLINK("https://www.youtube.com/channel/UCdjtPZHcM0Kp42_sd9_2JOQ")</f>
        <v>https://www.youtube.com/channel/UCdjtPZHcM0Kp42_sd9_2JOQ</v>
      </c>
      <c r="AU33" s="79" t="str">
        <f>REPLACE(INDEX(GroupVertices[Group],MATCH(Vertices[[#This Row],[Vertex]],GroupVertices[Vertex],0)),1,1,"")</f>
        <v>2</v>
      </c>
      <c r="AV33" s="48"/>
      <c r="AW33" s="49"/>
      <c r="AX33" s="48"/>
      <c r="AY33" s="49"/>
      <c r="AZ33" s="48"/>
      <c r="BA33" s="49"/>
      <c r="BB33" s="48"/>
      <c r="BC33" s="49"/>
      <c r="BD33" s="48"/>
      <c r="BE33" s="120" t="s">
        <v>408</v>
      </c>
      <c r="BF33" s="120" t="s">
        <v>408</v>
      </c>
      <c r="BG33" s="120" t="s">
        <v>408</v>
      </c>
      <c r="BH33" s="120" t="s">
        <v>408</v>
      </c>
      <c r="BI33" s="2"/>
      <c r="BJ33" s="3"/>
      <c r="BK33" s="3"/>
      <c r="BL33" s="3"/>
      <c r="BM33" s="3"/>
    </row>
    <row r="34" spans="1:65" ht="15">
      <c r="A34" s="65" t="s">
        <v>476</v>
      </c>
      <c r="B34" s="66"/>
      <c r="C34" s="66"/>
      <c r="D34" s="67">
        <v>1000</v>
      </c>
      <c r="E34" s="127"/>
      <c r="F34" s="98" t="str">
        <f>HYPERLINK("https://yt3.ggpht.com/a/AATXAJwguHw0eW1P3HUXQ4Svf1Sqkc4cYt81xYg2AQ=s88-c-k-c0xffffffff-no-rj-mo")</f>
        <v>https://yt3.ggpht.com/a/AATXAJwguHw0eW1P3HUXQ4Svf1Sqkc4cYt81xYg2AQ=s88-c-k-c0xffffffff-no-rj-mo</v>
      </c>
      <c r="G34" s="128"/>
      <c r="H34" s="70" t="s">
        <v>938</v>
      </c>
      <c r="I34" s="71"/>
      <c r="J34" s="129"/>
      <c r="K34" s="70" t="s">
        <v>938</v>
      </c>
      <c r="L34" s="130">
        <v>968.5483870967741</v>
      </c>
      <c r="M34" s="75">
        <v>1872.823974609375</v>
      </c>
      <c r="N34" s="75">
        <v>3548.21142578125</v>
      </c>
      <c r="O34" s="76"/>
      <c r="P34" s="77"/>
      <c r="Q34" s="77"/>
      <c r="R34" s="131"/>
      <c r="S34" s="48">
        <v>3</v>
      </c>
      <c r="T34" s="48">
        <v>2</v>
      </c>
      <c r="U34" s="49">
        <v>128</v>
      </c>
      <c r="V34" s="49">
        <v>0.008772</v>
      </c>
      <c r="W34" s="49">
        <v>0.031009</v>
      </c>
      <c r="X34" s="49">
        <v>1.567499</v>
      </c>
      <c r="Y34" s="49">
        <v>0</v>
      </c>
      <c r="Z34" s="49">
        <v>0</v>
      </c>
      <c r="AA34" s="72">
        <v>34</v>
      </c>
      <c r="AB34" s="72"/>
      <c r="AC34" s="73"/>
      <c r="AD34" s="80" t="s">
        <v>938</v>
      </c>
      <c r="AE34" s="80"/>
      <c r="AF34" s="80"/>
      <c r="AG34" s="80"/>
      <c r="AH34" s="80"/>
      <c r="AI34" s="80"/>
      <c r="AJ34" s="84">
        <v>40037.6499537037</v>
      </c>
      <c r="AK34" s="82" t="str">
        <f>HYPERLINK("https://yt3.ggpht.com/a/AATXAJwguHw0eW1P3HUXQ4Svf1Sqkc4cYt81xYg2AQ=s88-c-k-c0xffffffff-no-rj-mo")</f>
        <v>https://yt3.ggpht.com/a/AATXAJwguHw0eW1P3HUXQ4Svf1Sqkc4cYt81xYg2AQ=s88-c-k-c0xffffffff-no-rj-mo</v>
      </c>
      <c r="AL34" s="80">
        <v>0</v>
      </c>
      <c r="AM34" s="80">
        <v>0</v>
      </c>
      <c r="AN34" s="80">
        <v>0</v>
      </c>
      <c r="AO34" s="80" t="b">
        <v>0</v>
      </c>
      <c r="AP34" s="80">
        <v>0</v>
      </c>
      <c r="AQ34" s="80"/>
      <c r="AR34" s="80"/>
      <c r="AS34" s="80" t="s">
        <v>230</v>
      </c>
      <c r="AT34" s="82" t="str">
        <f>HYPERLINK("https://www.youtube.com/channel/UCiRgdeiNpVedoU-Qw7et5Pg")</f>
        <v>https://www.youtube.com/channel/UCiRgdeiNpVedoU-Qw7et5Pg</v>
      </c>
      <c r="AU34" s="79" t="str">
        <f>REPLACE(INDEX(GroupVertices[Group],MATCH(Vertices[[#This Row],[Vertex]],GroupVertices[Vertex],0)),1,1,"")</f>
        <v>2</v>
      </c>
      <c r="AV34" s="48"/>
      <c r="AW34" s="49"/>
      <c r="AX34" s="48"/>
      <c r="AY34" s="49"/>
      <c r="AZ34" s="48"/>
      <c r="BA34" s="49"/>
      <c r="BB34" s="48"/>
      <c r="BC34" s="49"/>
      <c r="BD34" s="48"/>
      <c r="BE34" s="120" t="s">
        <v>408</v>
      </c>
      <c r="BF34" s="120" t="s">
        <v>408</v>
      </c>
      <c r="BG34" s="120" t="s">
        <v>408</v>
      </c>
      <c r="BH34" s="120" t="s">
        <v>408</v>
      </c>
      <c r="BI34" s="2"/>
      <c r="BJ34" s="3"/>
      <c r="BK34" s="3"/>
      <c r="BL34" s="3"/>
      <c r="BM34" s="3"/>
    </row>
    <row r="35" spans="1:65" ht="15">
      <c r="A35" s="65" t="s">
        <v>477</v>
      </c>
      <c r="B35" s="66"/>
      <c r="C35" s="66"/>
      <c r="D35" s="67">
        <v>200</v>
      </c>
      <c r="E35" s="127"/>
      <c r="F35" s="98" t="str">
        <f>HYPERLINK("https://yt3.ggpht.com/a/AATXAJw1n7oqAbsF3AcaMPhwx8yl-CVVE4bOtp0sKg=s88-c-k-c0xffffffff-no-rj-mo")</f>
        <v>https://yt3.ggpht.com/a/AATXAJw1n7oqAbsF3AcaMPhwx8yl-CVVE4bOtp0sKg=s88-c-k-c0xffffffff-no-rj-mo</v>
      </c>
      <c r="G35" s="128"/>
      <c r="H35" s="70" t="s">
        <v>939</v>
      </c>
      <c r="I35" s="71"/>
      <c r="J35" s="129"/>
      <c r="K35" s="70" t="s">
        <v>939</v>
      </c>
      <c r="L35" s="130">
        <v>1</v>
      </c>
      <c r="M35" s="75">
        <v>7180.1328125</v>
      </c>
      <c r="N35" s="75">
        <v>3475.89208984375</v>
      </c>
      <c r="O35" s="76"/>
      <c r="P35" s="77"/>
      <c r="Q35" s="77"/>
      <c r="R35" s="131"/>
      <c r="S35" s="48">
        <v>0</v>
      </c>
      <c r="T35" s="48">
        <v>1</v>
      </c>
      <c r="U35" s="49">
        <v>0</v>
      </c>
      <c r="V35" s="49">
        <v>0.006135</v>
      </c>
      <c r="W35" s="49">
        <v>0.004057</v>
      </c>
      <c r="X35" s="49">
        <v>0.555655</v>
      </c>
      <c r="Y35" s="49">
        <v>0</v>
      </c>
      <c r="Z35" s="49">
        <v>0</v>
      </c>
      <c r="AA35" s="72">
        <v>35</v>
      </c>
      <c r="AB35" s="72"/>
      <c r="AC35" s="73"/>
      <c r="AD35" s="80" t="s">
        <v>939</v>
      </c>
      <c r="AE35" s="80"/>
      <c r="AF35" s="80"/>
      <c r="AG35" s="80"/>
      <c r="AH35" s="80"/>
      <c r="AI35" s="80"/>
      <c r="AJ35" s="84">
        <v>41168.23547453704</v>
      </c>
      <c r="AK35" s="82" t="str">
        <f>HYPERLINK("https://yt3.ggpht.com/a/AATXAJw1n7oqAbsF3AcaMPhwx8yl-CVVE4bOtp0sKg=s88-c-k-c0xffffffff-no-rj-mo")</f>
        <v>https://yt3.ggpht.com/a/AATXAJw1n7oqAbsF3AcaMPhwx8yl-CVVE4bOtp0sKg=s88-c-k-c0xffffffff-no-rj-mo</v>
      </c>
      <c r="AL35" s="80">
        <v>0</v>
      </c>
      <c r="AM35" s="80">
        <v>0</v>
      </c>
      <c r="AN35" s="80">
        <v>0</v>
      </c>
      <c r="AO35" s="80" t="b">
        <v>0</v>
      </c>
      <c r="AP35" s="80">
        <v>0</v>
      </c>
      <c r="AQ35" s="80"/>
      <c r="AR35" s="80"/>
      <c r="AS35" s="80" t="s">
        <v>230</v>
      </c>
      <c r="AT35" s="82" t="str">
        <f>HYPERLINK("https://www.youtube.com/channel/UC6Fn4NtfP5xRI28vy9oe6Vg")</f>
        <v>https://www.youtube.com/channel/UC6Fn4NtfP5xRI28vy9oe6Vg</v>
      </c>
      <c r="AU35" s="79" t="str">
        <f>REPLACE(INDEX(GroupVertices[Group],MATCH(Vertices[[#This Row],[Vertex]],GroupVertices[Vertex],0)),1,1,"")</f>
        <v>22</v>
      </c>
      <c r="AV35" s="48"/>
      <c r="AW35" s="49"/>
      <c r="AX35" s="48"/>
      <c r="AY35" s="49"/>
      <c r="AZ35" s="48"/>
      <c r="BA35" s="49"/>
      <c r="BB35" s="48"/>
      <c r="BC35" s="49"/>
      <c r="BD35" s="48"/>
      <c r="BE35" s="120" t="s">
        <v>408</v>
      </c>
      <c r="BF35" s="120" t="s">
        <v>408</v>
      </c>
      <c r="BG35" s="120" t="s">
        <v>408</v>
      </c>
      <c r="BH35" s="120" t="s">
        <v>408</v>
      </c>
      <c r="BI35" s="2"/>
      <c r="BJ35" s="3"/>
      <c r="BK35" s="3"/>
      <c r="BL35" s="3"/>
      <c r="BM35" s="3"/>
    </row>
    <row r="36" spans="1:65" ht="15">
      <c r="A36" s="65" t="s">
        <v>479</v>
      </c>
      <c r="B36" s="66"/>
      <c r="C36" s="66"/>
      <c r="D36" s="67">
        <v>733.3333333333334</v>
      </c>
      <c r="E36" s="127"/>
      <c r="F36" s="98" t="str">
        <f>HYPERLINK("https://yt3.ggpht.com/a/AATXAJxUuqffbQzr0UEerkx74oLkLZGWzoIJkkXF6g=s88-c-k-c0xffffffff-no-rj-mo")</f>
        <v>https://yt3.ggpht.com/a/AATXAJxUuqffbQzr0UEerkx74oLkLZGWzoIJkkXF6g=s88-c-k-c0xffffffff-no-rj-mo</v>
      </c>
      <c r="G36" s="128"/>
      <c r="H36" s="70" t="s">
        <v>941</v>
      </c>
      <c r="I36" s="71"/>
      <c r="J36" s="129"/>
      <c r="K36" s="70" t="s">
        <v>941</v>
      </c>
      <c r="L36" s="130">
        <v>646.0322580645161</v>
      </c>
      <c r="M36" s="75">
        <v>7180.1328125</v>
      </c>
      <c r="N36" s="75">
        <v>2949.085205078125</v>
      </c>
      <c r="O36" s="76"/>
      <c r="P36" s="77"/>
      <c r="Q36" s="77"/>
      <c r="R36" s="131"/>
      <c r="S36" s="48">
        <v>2</v>
      </c>
      <c r="T36" s="48">
        <v>1</v>
      </c>
      <c r="U36" s="49">
        <v>194</v>
      </c>
      <c r="V36" s="49">
        <v>0.008772</v>
      </c>
      <c r="W36" s="49">
        <v>0.023825</v>
      </c>
      <c r="X36" s="49">
        <v>1.431725</v>
      </c>
      <c r="Y36" s="49">
        <v>0</v>
      </c>
      <c r="Z36" s="49">
        <v>0</v>
      </c>
      <c r="AA36" s="72">
        <v>36</v>
      </c>
      <c r="AB36" s="72"/>
      <c r="AC36" s="73"/>
      <c r="AD36" s="80" t="s">
        <v>941</v>
      </c>
      <c r="AE36" s="80"/>
      <c r="AF36" s="80"/>
      <c r="AG36" s="80"/>
      <c r="AH36" s="80"/>
      <c r="AI36" s="80"/>
      <c r="AJ36" s="84">
        <v>40989.655625</v>
      </c>
      <c r="AK36" s="82" t="str">
        <f>HYPERLINK("https://yt3.ggpht.com/a/AATXAJxUuqffbQzr0UEerkx74oLkLZGWzoIJkkXF6g=s88-c-k-c0xffffffff-no-rj-mo")</f>
        <v>https://yt3.ggpht.com/a/AATXAJxUuqffbQzr0UEerkx74oLkLZGWzoIJkkXF6g=s88-c-k-c0xffffffff-no-rj-mo</v>
      </c>
      <c r="AL36" s="80">
        <v>0</v>
      </c>
      <c r="AM36" s="80">
        <v>0</v>
      </c>
      <c r="AN36" s="80">
        <v>0</v>
      </c>
      <c r="AO36" s="80" t="b">
        <v>0</v>
      </c>
      <c r="AP36" s="80">
        <v>0</v>
      </c>
      <c r="AQ36" s="80"/>
      <c r="AR36" s="80"/>
      <c r="AS36" s="80" t="s">
        <v>230</v>
      </c>
      <c r="AT36" s="82" t="str">
        <f>HYPERLINK("https://www.youtube.com/channel/UCJQvl3mfUj5ww9gaHvpcD4g")</f>
        <v>https://www.youtube.com/channel/UCJQvl3mfUj5ww9gaHvpcD4g</v>
      </c>
      <c r="AU36" s="79" t="str">
        <f>REPLACE(INDEX(GroupVertices[Group],MATCH(Vertices[[#This Row],[Vertex]],GroupVertices[Vertex],0)),1,1,"")</f>
        <v>22</v>
      </c>
      <c r="AV36" s="48"/>
      <c r="AW36" s="49"/>
      <c r="AX36" s="48"/>
      <c r="AY36" s="49"/>
      <c r="AZ36" s="48"/>
      <c r="BA36" s="49"/>
      <c r="BB36" s="48"/>
      <c r="BC36" s="49"/>
      <c r="BD36" s="48"/>
      <c r="BE36" s="120" t="s">
        <v>408</v>
      </c>
      <c r="BF36" s="120" t="s">
        <v>408</v>
      </c>
      <c r="BG36" s="120" t="s">
        <v>408</v>
      </c>
      <c r="BH36" s="120" t="s">
        <v>408</v>
      </c>
      <c r="BI36" s="2"/>
      <c r="BJ36" s="3"/>
      <c r="BK36" s="3"/>
      <c r="BL36" s="3"/>
      <c r="BM36" s="3"/>
    </row>
    <row r="37" spans="1:65" ht="15">
      <c r="A37" s="65" t="s">
        <v>478</v>
      </c>
      <c r="B37" s="66"/>
      <c r="C37" s="66"/>
      <c r="D37" s="67">
        <v>200</v>
      </c>
      <c r="E37" s="127"/>
      <c r="F37" s="98" t="str">
        <f>HYPERLINK("https://yt3.ggpht.com/a/AATXAJxR_7H2hnrMCvH0OeyANnuE-RBmNzomZiZzeA=s88-c-k-c0xffffffff-no-rj-mo")</f>
        <v>https://yt3.ggpht.com/a/AATXAJxR_7H2hnrMCvH0OeyANnuE-RBmNzomZiZzeA=s88-c-k-c0xffffffff-no-rj-mo</v>
      </c>
      <c r="G37" s="128"/>
      <c r="H37" s="70" t="s">
        <v>940</v>
      </c>
      <c r="I37" s="71"/>
      <c r="J37" s="129"/>
      <c r="K37" s="70" t="s">
        <v>940</v>
      </c>
      <c r="L37" s="130">
        <v>1</v>
      </c>
      <c r="M37" s="75">
        <v>7685.4013671875</v>
      </c>
      <c r="N37" s="75">
        <v>3475.89208984375</v>
      </c>
      <c r="O37" s="76"/>
      <c r="P37" s="77"/>
      <c r="Q37" s="77"/>
      <c r="R37" s="131"/>
      <c r="S37" s="48">
        <v>0</v>
      </c>
      <c r="T37" s="48">
        <v>1</v>
      </c>
      <c r="U37" s="49">
        <v>0</v>
      </c>
      <c r="V37" s="49">
        <v>0.006135</v>
      </c>
      <c r="W37" s="49">
        <v>0.004057</v>
      </c>
      <c r="X37" s="49">
        <v>0.555655</v>
      </c>
      <c r="Y37" s="49">
        <v>0</v>
      </c>
      <c r="Z37" s="49">
        <v>0</v>
      </c>
      <c r="AA37" s="72">
        <v>37</v>
      </c>
      <c r="AB37" s="72"/>
      <c r="AC37" s="73"/>
      <c r="AD37" s="80" t="s">
        <v>940</v>
      </c>
      <c r="AE37" s="80"/>
      <c r="AF37" s="80"/>
      <c r="AG37" s="80"/>
      <c r="AH37" s="80"/>
      <c r="AI37" s="80"/>
      <c r="AJ37" s="84">
        <v>38739.83369212963</v>
      </c>
      <c r="AK37" s="82" t="str">
        <f>HYPERLINK("https://yt3.ggpht.com/a/AATXAJxR_7H2hnrMCvH0OeyANnuE-RBmNzomZiZzeA=s88-c-k-c0xffffffff-no-rj-mo")</f>
        <v>https://yt3.ggpht.com/a/AATXAJxR_7H2hnrMCvH0OeyANnuE-RBmNzomZiZzeA=s88-c-k-c0xffffffff-no-rj-mo</v>
      </c>
      <c r="AL37" s="80">
        <v>0</v>
      </c>
      <c r="AM37" s="80">
        <v>0</v>
      </c>
      <c r="AN37" s="80">
        <v>0</v>
      </c>
      <c r="AO37" s="80" t="b">
        <v>0</v>
      </c>
      <c r="AP37" s="80">
        <v>0</v>
      </c>
      <c r="AQ37" s="80"/>
      <c r="AR37" s="80"/>
      <c r="AS37" s="80" t="s">
        <v>230</v>
      </c>
      <c r="AT37" s="82" t="str">
        <f>HYPERLINK("https://www.youtube.com/channel/UCUa86G1xFqatt_yntIKsJ0A")</f>
        <v>https://www.youtube.com/channel/UCUa86G1xFqatt_yntIKsJ0A</v>
      </c>
      <c r="AU37" s="79" t="str">
        <f>REPLACE(INDEX(GroupVertices[Group],MATCH(Vertices[[#This Row],[Vertex]],GroupVertices[Vertex],0)),1,1,"")</f>
        <v>22</v>
      </c>
      <c r="AV37" s="48"/>
      <c r="AW37" s="49"/>
      <c r="AX37" s="48"/>
      <c r="AY37" s="49"/>
      <c r="AZ37" s="48"/>
      <c r="BA37" s="49"/>
      <c r="BB37" s="48"/>
      <c r="BC37" s="49"/>
      <c r="BD37" s="48"/>
      <c r="BE37" s="120" t="s">
        <v>408</v>
      </c>
      <c r="BF37" s="120" t="s">
        <v>408</v>
      </c>
      <c r="BG37" s="120" t="s">
        <v>408</v>
      </c>
      <c r="BH37" s="120" t="s">
        <v>408</v>
      </c>
      <c r="BI37" s="2"/>
      <c r="BJ37" s="3"/>
      <c r="BK37" s="3"/>
      <c r="BL37" s="3"/>
      <c r="BM37" s="3"/>
    </row>
    <row r="38" spans="1:65" ht="15">
      <c r="A38" s="65" t="s">
        <v>482</v>
      </c>
      <c r="B38" s="66"/>
      <c r="C38" s="66"/>
      <c r="D38" s="67">
        <v>1000</v>
      </c>
      <c r="E38" s="127"/>
      <c r="F38" s="98" t="str">
        <f>HYPERLINK("https://yt3.ggpht.com/a/AATXAJyGA5PqFXm7C-dCEpIYkIBjiDTa5HI9rovidg=s88-c-k-c0xffffffff-no-rj-mo")</f>
        <v>https://yt3.ggpht.com/a/AATXAJyGA5PqFXm7C-dCEpIYkIBjiDTa5HI9rovidg=s88-c-k-c0xffffffff-no-rj-mo</v>
      </c>
      <c r="G38" s="128"/>
      <c r="H38" s="70" t="s">
        <v>944</v>
      </c>
      <c r="I38" s="71"/>
      <c r="J38" s="129"/>
      <c r="K38" s="70" t="s">
        <v>944</v>
      </c>
      <c r="L38" s="130">
        <v>968.5483870967741</v>
      </c>
      <c r="M38" s="75">
        <v>5938.17626953125</v>
      </c>
      <c r="N38" s="75">
        <v>6200.720703125</v>
      </c>
      <c r="O38" s="76"/>
      <c r="P38" s="77"/>
      <c r="Q38" s="77"/>
      <c r="R38" s="131"/>
      <c r="S38" s="48">
        <v>3</v>
      </c>
      <c r="T38" s="48">
        <v>2</v>
      </c>
      <c r="U38" s="49">
        <v>98</v>
      </c>
      <c r="V38" s="49">
        <v>0.008929</v>
      </c>
      <c r="W38" s="49">
        <v>0.034663</v>
      </c>
      <c r="X38" s="49">
        <v>1.612154</v>
      </c>
      <c r="Y38" s="49">
        <v>0.16666666666666666</v>
      </c>
      <c r="Z38" s="49">
        <v>0</v>
      </c>
      <c r="AA38" s="72">
        <v>38</v>
      </c>
      <c r="AB38" s="72"/>
      <c r="AC38" s="73"/>
      <c r="AD38" s="80" t="s">
        <v>944</v>
      </c>
      <c r="AE38" s="80"/>
      <c r="AF38" s="80"/>
      <c r="AG38" s="80"/>
      <c r="AH38" s="80"/>
      <c r="AI38" s="80"/>
      <c r="AJ38" s="84">
        <v>39916.642175925925</v>
      </c>
      <c r="AK38" s="82" t="str">
        <f>HYPERLINK("https://yt3.ggpht.com/a/AATXAJyGA5PqFXm7C-dCEpIYkIBjiDTa5HI9rovidg=s88-c-k-c0xffffffff-no-rj-mo")</f>
        <v>https://yt3.ggpht.com/a/AATXAJyGA5PqFXm7C-dCEpIYkIBjiDTa5HI9rovidg=s88-c-k-c0xffffffff-no-rj-mo</v>
      </c>
      <c r="AL38" s="80">
        <v>0</v>
      </c>
      <c r="AM38" s="80">
        <v>0</v>
      </c>
      <c r="AN38" s="80">
        <v>0</v>
      </c>
      <c r="AO38" s="80" t="b">
        <v>0</v>
      </c>
      <c r="AP38" s="80">
        <v>0</v>
      </c>
      <c r="AQ38" s="80"/>
      <c r="AR38" s="80"/>
      <c r="AS38" s="80" t="s">
        <v>230</v>
      </c>
      <c r="AT38" s="82" t="str">
        <f>HYPERLINK("https://www.youtube.com/channel/UCFE38u5CpsNQzDpJIk4bsiw")</f>
        <v>https://www.youtube.com/channel/UCFE38u5CpsNQzDpJIk4bsiw</v>
      </c>
      <c r="AU38" s="79" t="str">
        <f>REPLACE(INDEX(GroupVertices[Group],MATCH(Vertices[[#This Row],[Vertex]],GroupVertices[Vertex],0)),1,1,"")</f>
        <v>12</v>
      </c>
      <c r="AV38" s="48"/>
      <c r="AW38" s="49"/>
      <c r="AX38" s="48"/>
      <c r="AY38" s="49"/>
      <c r="AZ38" s="48"/>
      <c r="BA38" s="49"/>
      <c r="BB38" s="48"/>
      <c r="BC38" s="49"/>
      <c r="BD38" s="48"/>
      <c r="BE38" s="120" t="s">
        <v>408</v>
      </c>
      <c r="BF38" s="120" t="s">
        <v>408</v>
      </c>
      <c r="BG38" s="120" t="s">
        <v>408</v>
      </c>
      <c r="BH38" s="120" t="s">
        <v>408</v>
      </c>
      <c r="BI38" s="2"/>
      <c r="BJ38" s="3"/>
      <c r="BK38" s="3"/>
      <c r="BL38" s="3"/>
      <c r="BM38" s="3"/>
    </row>
    <row r="39" spans="1:65" ht="15">
      <c r="A39" s="65" t="s">
        <v>481</v>
      </c>
      <c r="B39" s="66"/>
      <c r="C39" s="66"/>
      <c r="D39" s="67">
        <v>200</v>
      </c>
      <c r="E39" s="127"/>
      <c r="F39" s="98" t="str">
        <f>HYPERLINK("https://yt3.ggpht.com/a/AATXAJzUcSqPwl_grZw8iq2nSR2T4oGRxZRS5uIDHA=s88-c-k-c0xffffffff-no-rj-mo")</f>
        <v>https://yt3.ggpht.com/a/AATXAJzUcSqPwl_grZw8iq2nSR2T4oGRxZRS5uIDHA=s88-c-k-c0xffffffff-no-rj-mo</v>
      </c>
      <c r="G39" s="128"/>
      <c r="H39" s="70" t="s">
        <v>943</v>
      </c>
      <c r="I39" s="71"/>
      <c r="J39" s="129"/>
      <c r="K39" s="70" t="s">
        <v>943</v>
      </c>
      <c r="L39" s="130">
        <v>1</v>
      </c>
      <c r="M39" s="75">
        <v>5597.84423828125</v>
      </c>
      <c r="N39" s="75">
        <v>5639.931640625</v>
      </c>
      <c r="O39" s="76"/>
      <c r="P39" s="77"/>
      <c r="Q39" s="77"/>
      <c r="R39" s="131"/>
      <c r="S39" s="48">
        <v>0</v>
      </c>
      <c r="T39" s="48">
        <v>1</v>
      </c>
      <c r="U39" s="49">
        <v>0</v>
      </c>
      <c r="V39" s="49">
        <v>0.006211</v>
      </c>
      <c r="W39" s="49">
        <v>0.005918</v>
      </c>
      <c r="X39" s="49">
        <v>0.492582</v>
      </c>
      <c r="Y39" s="49">
        <v>0</v>
      </c>
      <c r="Z39" s="49">
        <v>0</v>
      </c>
      <c r="AA39" s="72">
        <v>39</v>
      </c>
      <c r="AB39" s="72"/>
      <c r="AC39" s="73"/>
      <c r="AD39" s="80" t="s">
        <v>943</v>
      </c>
      <c r="AE39" s="80"/>
      <c r="AF39" s="80"/>
      <c r="AG39" s="80"/>
      <c r="AH39" s="80"/>
      <c r="AI39" s="80"/>
      <c r="AJ39" s="84">
        <v>39444.48259259259</v>
      </c>
      <c r="AK39" s="82" t="str">
        <f>HYPERLINK("https://yt3.ggpht.com/a/AATXAJzUcSqPwl_grZw8iq2nSR2T4oGRxZRS5uIDHA=s88-c-k-c0xffffffff-no-rj-mo")</f>
        <v>https://yt3.ggpht.com/a/AATXAJzUcSqPwl_grZw8iq2nSR2T4oGRxZRS5uIDHA=s88-c-k-c0xffffffff-no-rj-mo</v>
      </c>
      <c r="AL39" s="80">
        <v>0</v>
      </c>
      <c r="AM39" s="80">
        <v>0</v>
      </c>
      <c r="AN39" s="80">
        <v>2</v>
      </c>
      <c r="AO39" s="80" t="b">
        <v>0</v>
      </c>
      <c r="AP39" s="80">
        <v>0</v>
      </c>
      <c r="AQ39" s="80"/>
      <c r="AR39" s="80"/>
      <c r="AS39" s="80" t="s">
        <v>230</v>
      </c>
      <c r="AT39" s="82" t="str">
        <f>HYPERLINK("https://www.youtube.com/channel/UCS6uE8pxsb-UkLbn990_WiA")</f>
        <v>https://www.youtube.com/channel/UCS6uE8pxsb-UkLbn990_WiA</v>
      </c>
      <c r="AU39" s="79" t="str">
        <f>REPLACE(INDEX(GroupVertices[Group],MATCH(Vertices[[#This Row],[Vertex]],GroupVertices[Vertex],0)),1,1,"")</f>
        <v>12</v>
      </c>
      <c r="AV39" s="48"/>
      <c r="AW39" s="49"/>
      <c r="AX39" s="48"/>
      <c r="AY39" s="49"/>
      <c r="AZ39" s="48"/>
      <c r="BA39" s="49"/>
      <c r="BB39" s="48"/>
      <c r="BC39" s="49"/>
      <c r="BD39" s="48"/>
      <c r="BE39" s="120" t="s">
        <v>408</v>
      </c>
      <c r="BF39" s="120" t="s">
        <v>408</v>
      </c>
      <c r="BG39" s="120" t="s">
        <v>408</v>
      </c>
      <c r="BH39" s="120" t="s">
        <v>408</v>
      </c>
      <c r="BI39" s="2"/>
      <c r="BJ39" s="3"/>
      <c r="BK39" s="3"/>
      <c r="BL39" s="3"/>
      <c r="BM39" s="3"/>
    </row>
    <row r="40" spans="1:65" ht="15">
      <c r="A40" s="65" t="s">
        <v>483</v>
      </c>
      <c r="B40" s="66"/>
      <c r="C40" s="66"/>
      <c r="D40" s="67">
        <v>200</v>
      </c>
      <c r="E40" s="127"/>
      <c r="F40" s="98" t="str">
        <f>HYPERLINK("https://yt3.ggpht.com/a/AATXAJzUTwPmHO1RAx6P5Q0ZhUeimY6EG99BmKvMQg=s88-c-k-c0xffffffff-no-rj-mo")</f>
        <v>https://yt3.ggpht.com/a/AATXAJzUTwPmHO1RAx6P5Q0ZhUeimY6EG99BmKvMQg=s88-c-k-c0xffffffff-no-rj-mo</v>
      </c>
      <c r="G40" s="128"/>
      <c r="H40" s="70" t="s">
        <v>945</v>
      </c>
      <c r="I40" s="71"/>
      <c r="J40" s="129"/>
      <c r="K40" s="70" t="s">
        <v>945</v>
      </c>
      <c r="L40" s="130">
        <v>1</v>
      </c>
      <c r="M40" s="75">
        <v>3470.397705078125</v>
      </c>
      <c r="N40" s="75">
        <v>1122.205810546875</v>
      </c>
      <c r="O40" s="76"/>
      <c r="P40" s="77"/>
      <c r="Q40" s="77"/>
      <c r="R40" s="131"/>
      <c r="S40" s="48">
        <v>0</v>
      </c>
      <c r="T40" s="48">
        <v>1</v>
      </c>
      <c r="U40" s="49">
        <v>0</v>
      </c>
      <c r="V40" s="49">
        <v>0.006061</v>
      </c>
      <c r="W40" s="49">
        <v>0.003935</v>
      </c>
      <c r="X40" s="49">
        <v>0.558939</v>
      </c>
      <c r="Y40" s="49">
        <v>0</v>
      </c>
      <c r="Z40" s="49">
        <v>0</v>
      </c>
      <c r="AA40" s="72">
        <v>40</v>
      </c>
      <c r="AB40" s="72"/>
      <c r="AC40" s="73"/>
      <c r="AD40" s="80" t="s">
        <v>945</v>
      </c>
      <c r="AE40" s="80"/>
      <c r="AF40" s="80"/>
      <c r="AG40" s="80"/>
      <c r="AH40" s="80"/>
      <c r="AI40" s="80"/>
      <c r="AJ40" s="84">
        <v>42172.815671296295</v>
      </c>
      <c r="AK40" s="82" t="str">
        <f>HYPERLINK("https://yt3.ggpht.com/a/AATXAJzUTwPmHO1RAx6P5Q0ZhUeimY6EG99BmKvMQg=s88-c-k-c0xffffffff-no-rj-mo")</f>
        <v>https://yt3.ggpht.com/a/AATXAJzUTwPmHO1RAx6P5Q0ZhUeimY6EG99BmKvMQg=s88-c-k-c0xffffffff-no-rj-mo</v>
      </c>
      <c r="AL40" s="80">
        <v>180</v>
      </c>
      <c r="AM40" s="80">
        <v>0</v>
      </c>
      <c r="AN40" s="80">
        <v>5</v>
      </c>
      <c r="AO40" s="80" t="b">
        <v>0</v>
      </c>
      <c r="AP40" s="80">
        <v>1</v>
      </c>
      <c r="AQ40" s="80"/>
      <c r="AR40" s="80"/>
      <c r="AS40" s="80" t="s">
        <v>230</v>
      </c>
      <c r="AT40" s="82" t="str">
        <f>HYPERLINK("https://www.youtube.com/channel/UCigHiy9Y3NCgFcAfCBI5dzQ")</f>
        <v>https://www.youtube.com/channel/UCigHiy9Y3NCgFcAfCBI5dzQ</v>
      </c>
      <c r="AU40" s="79" t="str">
        <f>REPLACE(INDEX(GroupVertices[Group],MATCH(Vertices[[#This Row],[Vertex]],GroupVertices[Vertex],0)),1,1,"")</f>
        <v>2</v>
      </c>
      <c r="AV40" s="48"/>
      <c r="AW40" s="49"/>
      <c r="AX40" s="48"/>
      <c r="AY40" s="49"/>
      <c r="AZ40" s="48"/>
      <c r="BA40" s="49"/>
      <c r="BB40" s="48"/>
      <c r="BC40" s="49"/>
      <c r="BD40" s="48"/>
      <c r="BE40" s="120" t="s">
        <v>408</v>
      </c>
      <c r="BF40" s="120" t="s">
        <v>408</v>
      </c>
      <c r="BG40" s="120" t="s">
        <v>408</v>
      </c>
      <c r="BH40" s="120" t="s">
        <v>408</v>
      </c>
      <c r="BI40" s="2"/>
      <c r="BJ40" s="3"/>
      <c r="BK40" s="3"/>
      <c r="BL40" s="3"/>
      <c r="BM40" s="3"/>
    </row>
    <row r="41" spans="1:65" ht="15">
      <c r="A41" s="65" t="s">
        <v>484</v>
      </c>
      <c r="B41" s="66"/>
      <c r="C41" s="66"/>
      <c r="D41" s="67">
        <v>466.6666666666667</v>
      </c>
      <c r="E41" s="127"/>
      <c r="F41" s="98" t="str">
        <f>HYPERLINK("https://yt3.ggpht.com/a/AATXAJzyqOCE2DXhR-V203FMfum7WxhIXrgzIKXe0g=s88-c-k-c0xffffffff-no-rj-mo")</f>
        <v>https://yt3.ggpht.com/a/AATXAJzyqOCE2DXhR-V203FMfum7WxhIXrgzIKXe0g=s88-c-k-c0xffffffff-no-rj-mo</v>
      </c>
      <c r="G41" s="128"/>
      <c r="H41" s="70" t="s">
        <v>946</v>
      </c>
      <c r="I41" s="71"/>
      <c r="J41" s="129"/>
      <c r="K41" s="70" t="s">
        <v>946</v>
      </c>
      <c r="L41" s="130">
        <v>323.51612903225805</v>
      </c>
      <c r="M41" s="75">
        <v>2802.47314453125</v>
      </c>
      <c r="N41" s="75">
        <v>1710.5623779296875</v>
      </c>
      <c r="O41" s="76"/>
      <c r="P41" s="77"/>
      <c r="Q41" s="77"/>
      <c r="R41" s="131"/>
      <c r="S41" s="48">
        <v>1</v>
      </c>
      <c r="T41" s="48">
        <v>1</v>
      </c>
      <c r="U41" s="49">
        <v>98</v>
      </c>
      <c r="V41" s="49">
        <v>0.008621</v>
      </c>
      <c r="W41" s="49">
        <v>0.023107</v>
      </c>
      <c r="X41" s="49">
        <v>0.962209</v>
      </c>
      <c r="Y41" s="49">
        <v>0</v>
      </c>
      <c r="Z41" s="49">
        <v>0</v>
      </c>
      <c r="AA41" s="72">
        <v>41</v>
      </c>
      <c r="AB41" s="72"/>
      <c r="AC41" s="73"/>
      <c r="AD41" s="80" t="s">
        <v>946</v>
      </c>
      <c r="AE41" s="80"/>
      <c r="AF41" s="80"/>
      <c r="AG41" s="80"/>
      <c r="AH41" s="80"/>
      <c r="AI41" s="80"/>
      <c r="AJ41" s="84">
        <v>40881.890648148146</v>
      </c>
      <c r="AK41" s="82" t="str">
        <f>HYPERLINK("https://yt3.ggpht.com/a/AATXAJzyqOCE2DXhR-V203FMfum7WxhIXrgzIKXe0g=s88-c-k-c0xffffffff-no-rj-mo")</f>
        <v>https://yt3.ggpht.com/a/AATXAJzyqOCE2DXhR-V203FMfum7WxhIXrgzIKXe0g=s88-c-k-c0xffffffff-no-rj-mo</v>
      </c>
      <c r="AL41" s="80">
        <v>0</v>
      </c>
      <c r="AM41" s="80">
        <v>0</v>
      </c>
      <c r="AN41" s="80">
        <v>0</v>
      </c>
      <c r="AO41" s="80" t="b">
        <v>0</v>
      </c>
      <c r="AP41" s="80">
        <v>0</v>
      </c>
      <c r="AQ41" s="80"/>
      <c r="AR41" s="80"/>
      <c r="AS41" s="80" t="s">
        <v>230</v>
      </c>
      <c r="AT41" s="82" t="str">
        <f>HYPERLINK("https://www.youtube.com/channel/UC_9gy3T5xc8eQi-PIWrZuEw")</f>
        <v>https://www.youtube.com/channel/UC_9gy3T5xc8eQi-PIWrZuEw</v>
      </c>
      <c r="AU41" s="79" t="str">
        <f>REPLACE(INDEX(GroupVertices[Group],MATCH(Vertices[[#This Row],[Vertex]],GroupVertices[Vertex],0)),1,1,"")</f>
        <v>2</v>
      </c>
      <c r="AV41" s="48"/>
      <c r="AW41" s="49"/>
      <c r="AX41" s="48"/>
      <c r="AY41" s="49"/>
      <c r="AZ41" s="48"/>
      <c r="BA41" s="49"/>
      <c r="BB41" s="48"/>
      <c r="BC41" s="49"/>
      <c r="BD41" s="48"/>
      <c r="BE41" s="120" t="s">
        <v>408</v>
      </c>
      <c r="BF41" s="120" t="s">
        <v>408</v>
      </c>
      <c r="BG41" s="120" t="s">
        <v>408</v>
      </c>
      <c r="BH41" s="120" t="s">
        <v>408</v>
      </c>
      <c r="BI41" s="2"/>
      <c r="BJ41" s="3"/>
      <c r="BK41" s="3"/>
      <c r="BL41" s="3"/>
      <c r="BM41" s="3"/>
    </row>
    <row r="42" spans="1:65" ht="15">
      <c r="A42" s="65" t="s">
        <v>486</v>
      </c>
      <c r="B42" s="66"/>
      <c r="C42" s="66"/>
      <c r="D42" s="67">
        <v>733.3333333333334</v>
      </c>
      <c r="E42" s="127"/>
      <c r="F42" s="98" t="str">
        <f>HYPERLINK("https://yt3.ggpht.com/a/AATXAJwzTHsimQFCV6IKGobFRtTdjCEcfjFW64hYtw=s88-c-k-c0xffffffff-no-rj-mo")</f>
        <v>https://yt3.ggpht.com/a/AATXAJwzTHsimQFCV6IKGobFRtTdjCEcfjFW64hYtw=s88-c-k-c0xffffffff-no-rj-mo</v>
      </c>
      <c r="G42" s="128"/>
      <c r="H42" s="70" t="s">
        <v>948</v>
      </c>
      <c r="I42" s="71"/>
      <c r="J42" s="129"/>
      <c r="K42" s="70" t="s">
        <v>948</v>
      </c>
      <c r="L42" s="130">
        <v>646.0322580645161</v>
      </c>
      <c r="M42" s="75">
        <v>2596.6044921875</v>
      </c>
      <c r="N42" s="75">
        <v>3226.81982421875</v>
      </c>
      <c r="O42" s="76"/>
      <c r="P42" s="77"/>
      <c r="Q42" s="77"/>
      <c r="R42" s="131"/>
      <c r="S42" s="48">
        <v>2</v>
      </c>
      <c r="T42" s="48">
        <v>1</v>
      </c>
      <c r="U42" s="49">
        <v>128</v>
      </c>
      <c r="V42" s="49">
        <v>0.008772</v>
      </c>
      <c r="W42" s="49">
        <v>0.025562</v>
      </c>
      <c r="X42" s="49">
        <v>1.253053</v>
      </c>
      <c r="Y42" s="49">
        <v>0</v>
      </c>
      <c r="Z42" s="49">
        <v>0</v>
      </c>
      <c r="AA42" s="72">
        <v>42</v>
      </c>
      <c r="AB42" s="72"/>
      <c r="AC42" s="73"/>
      <c r="AD42" s="80" t="s">
        <v>948</v>
      </c>
      <c r="AE42" s="80"/>
      <c r="AF42" s="80"/>
      <c r="AG42" s="80"/>
      <c r="AH42" s="80"/>
      <c r="AI42" s="80"/>
      <c r="AJ42" s="84">
        <v>43783.62049768519</v>
      </c>
      <c r="AK42" s="82" t="str">
        <f>HYPERLINK("https://yt3.ggpht.com/a/AATXAJwzTHsimQFCV6IKGobFRtTdjCEcfjFW64hYtw=s88-c-k-c0xffffffff-no-rj-mo")</f>
        <v>https://yt3.ggpht.com/a/AATXAJwzTHsimQFCV6IKGobFRtTdjCEcfjFW64hYtw=s88-c-k-c0xffffffff-no-rj-mo</v>
      </c>
      <c r="AL42" s="80">
        <v>0</v>
      </c>
      <c r="AM42" s="80">
        <v>0</v>
      </c>
      <c r="AN42" s="80">
        <v>1</v>
      </c>
      <c r="AO42" s="80" t="b">
        <v>0</v>
      </c>
      <c r="AP42" s="80">
        <v>0</v>
      </c>
      <c r="AQ42" s="80"/>
      <c r="AR42" s="80"/>
      <c r="AS42" s="80" t="s">
        <v>230</v>
      </c>
      <c r="AT42" s="82" t="str">
        <f>HYPERLINK("https://www.youtube.com/channel/UCS6RpqOI7ievekmwVnzyenw")</f>
        <v>https://www.youtube.com/channel/UCS6RpqOI7ievekmwVnzyenw</v>
      </c>
      <c r="AU42" s="79" t="str">
        <f>REPLACE(INDEX(GroupVertices[Group],MATCH(Vertices[[#This Row],[Vertex]],GroupVertices[Vertex],0)),1,1,"")</f>
        <v>2</v>
      </c>
      <c r="AV42" s="48"/>
      <c r="AW42" s="49"/>
      <c r="AX42" s="48"/>
      <c r="AY42" s="49"/>
      <c r="AZ42" s="48"/>
      <c r="BA42" s="49"/>
      <c r="BB42" s="48"/>
      <c r="BC42" s="49"/>
      <c r="BD42" s="48"/>
      <c r="BE42" s="120" t="s">
        <v>408</v>
      </c>
      <c r="BF42" s="120" t="s">
        <v>408</v>
      </c>
      <c r="BG42" s="120" t="s">
        <v>408</v>
      </c>
      <c r="BH42" s="120" t="s">
        <v>408</v>
      </c>
      <c r="BI42" s="2"/>
      <c r="BJ42" s="3"/>
      <c r="BK42" s="3"/>
      <c r="BL42" s="3"/>
      <c r="BM42" s="3"/>
    </row>
    <row r="43" spans="1:65" ht="15">
      <c r="A43" s="65" t="s">
        <v>485</v>
      </c>
      <c r="B43" s="66"/>
      <c r="C43" s="66"/>
      <c r="D43" s="67">
        <v>200</v>
      </c>
      <c r="E43" s="127"/>
      <c r="F43" s="98" t="str">
        <f>HYPERLINK("https://yt3.ggpht.com/a/AATXAJw7kSApFNWGH22He3urdGNIJa94q9kZSoiVxQ=s88-c-k-c0xffffffff-no-rj-mo")</f>
        <v>https://yt3.ggpht.com/a/AATXAJw7kSApFNWGH22He3urdGNIJa94q9kZSoiVxQ=s88-c-k-c0xffffffff-no-rj-mo</v>
      </c>
      <c r="G43" s="128"/>
      <c r="H43" s="70" t="s">
        <v>947</v>
      </c>
      <c r="I43" s="71"/>
      <c r="J43" s="129"/>
      <c r="K43" s="70" t="s">
        <v>947</v>
      </c>
      <c r="L43" s="130">
        <v>1</v>
      </c>
      <c r="M43" s="75">
        <v>3397.676513671875</v>
      </c>
      <c r="N43" s="75">
        <v>3612.877685546875</v>
      </c>
      <c r="O43" s="76"/>
      <c r="P43" s="77"/>
      <c r="Q43" s="77"/>
      <c r="R43" s="131"/>
      <c r="S43" s="48">
        <v>0</v>
      </c>
      <c r="T43" s="48">
        <v>1</v>
      </c>
      <c r="U43" s="49">
        <v>0</v>
      </c>
      <c r="V43" s="49">
        <v>0.006135</v>
      </c>
      <c r="W43" s="49">
        <v>0.004353</v>
      </c>
      <c r="X43" s="49">
        <v>0.505032</v>
      </c>
      <c r="Y43" s="49">
        <v>0</v>
      </c>
      <c r="Z43" s="49">
        <v>0</v>
      </c>
      <c r="AA43" s="72">
        <v>43</v>
      </c>
      <c r="AB43" s="72"/>
      <c r="AC43" s="73"/>
      <c r="AD43" s="80" t="s">
        <v>947</v>
      </c>
      <c r="AE43" s="80"/>
      <c r="AF43" s="80"/>
      <c r="AG43" s="80"/>
      <c r="AH43" s="80"/>
      <c r="AI43" s="80"/>
      <c r="AJ43" s="84">
        <v>39420.318703703706</v>
      </c>
      <c r="AK43" s="82" t="str">
        <f>HYPERLINK("https://yt3.ggpht.com/a/AATXAJw7kSApFNWGH22He3urdGNIJa94q9kZSoiVxQ=s88-c-k-c0xffffffff-no-rj-mo")</f>
        <v>https://yt3.ggpht.com/a/AATXAJw7kSApFNWGH22He3urdGNIJa94q9kZSoiVxQ=s88-c-k-c0xffffffff-no-rj-mo</v>
      </c>
      <c r="AL43" s="80">
        <v>855</v>
      </c>
      <c r="AM43" s="80">
        <v>0</v>
      </c>
      <c r="AN43" s="80">
        <v>6</v>
      </c>
      <c r="AO43" s="80" t="b">
        <v>0</v>
      </c>
      <c r="AP43" s="80">
        <v>6</v>
      </c>
      <c r="AQ43" s="80"/>
      <c r="AR43" s="80"/>
      <c r="AS43" s="80" t="s">
        <v>230</v>
      </c>
      <c r="AT43" s="82" t="str">
        <f>HYPERLINK("https://www.youtube.com/channel/UC9DPBq43Lh9NxAr9PI2_vHQ")</f>
        <v>https://www.youtube.com/channel/UC9DPBq43Lh9NxAr9PI2_vHQ</v>
      </c>
      <c r="AU43" s="79" t="str">
        <f>REPLACE(INDEX(GroupVertices[Group],MATCH(Vertices[[#This Row],[Vertex]],GroupVertices[Vertex],0)),1,1,"")</f>
        <v>2</v>
      </c>
      <c r="AV43" s="48"/>
      <c r="AW43" s="49"/>
      <c r="AX43" s="48"/>
      <c r="AY43" s="49"/>
      <c r="AZ43" s="48"/>
      <c r="BA43" s="49"/>
      <c r="BB43" s="48"/>
      <c r="BC43" s="49"/>
      <c r="BD43" s="48"/>
      <c r="BE43" s="120" t="s">
        <v>408</v>
      </c>
      <c r="BF43" s="120" t="s">
        <v>408</v>
      </c>
      <c r="BG43" s="120" t="s">
        <v>408</v>
      </c>
      <c r="BH43" s="120" t="s">
        <v>408</v>
      </c>
      <c r="BI43" s="2"/>
      <c r="BJ43" s="3"/>
      <c r="BK43" s="3"/>
      <c r="BL43" s="3"/>
      <c r="BM43" s="3"/>
    </row>
    <row r="44" spans="1:65" ht="15">
      <c r="A44" s="65" t="s">
        <v>487</v>
      </c>
      <c r="B44" s="66"/>
      <c r="C44" s="66"/>
      <c r="D44" s="67">
        <v>466.6666666666667</v>
      </c>
      <c r="E44" s="127"/>
      <c r="F44" s="98" t="str">
        <f>HYPERLINK("https://yt3.ggpht.com/a/AATXAJzugIDzzohNFQbxEZ6Ccg7nrvGIuyrSPRVvew=s88-c-k-c0xffffffff-no-rj-mo")</f>
        <v>https://yt3.ggpht.com/a/AATXAJzugIDzzohNFQbxEZ6Ccg7nrvGIuyrSPRVvew=s88-c-k-c0xffffffff-no-rj-mo</v>
      </c>
      <c r="G44" s="128"/>
      <c r="H44" s="70" t="s">
        <v>949</v>
      </c>
      <c r="I44" s="71"/>
      <c r="J44" s="129"/>
      <c r="K44" s="70" t="s">
        <v>949</v>
      </c>
      <c r="L44" s="130">
        <v>323.51612903225805</v>
      </c>
      <c r="M44" s="75">
        <v>1884.25927734375</v>
      </c>
      <c r="N44" s="75">
        <v>2921.008056640625</v>
      </c>
      <c r="O44" s="76"/>
      <c r="P44" s="77"/>
      <c r="Q44" s="77"/>
      <c r="R44" s="131"/>
      <c r="S44" s="48">
        <v>1</v>
      </c>
      <c r="T44" s="48">
        <v>1</v>
      </c>
      <c r="U44" s="49">
        <v>0</v>
      </c>
      <c r="V44" s="49">
        <v>0.008475</v>
      </c>
      <c r="W44" s="49">
        <v>0.02243</v>
      </c>
      <c r="X44" s="49">
        <v>0.487112</v>
      </c>
      <c r="Y44" s="49">
        <v>0</v>
      </c>
      <c r="Z44" s="49">
        <v>1</v>
      </c>
      <c r="AA44" s="72">
        <v>44</v>
      </c>
      <c r="AB44" s="72"/>
      <c r="AC44" s="73"/>
      <c r="AD44" s="80" t="s">
        <v>949</v>
      </c>
      <c r="AE44" s="80"/>
      <c r="AF44" s="80"/>
      <c r="AG44" s="80"/>
      <c r="AH44" s="80"/>
      <c r="AI44" s="80"/>
      <c r="AJ44" s="84">
        <v>41498.272465277776</v>
      </c>
      <c r="AK44" s="82" t="str">
        <f>HYPERLINK("https://yt3.ggpht.com/a/AATXAJzugIDzzohNFQbxEZ6Ccg7nrvGIuyrSPRVvew=s88-c-k-c0xffffffff-no-rj-mo")</f>
        <v>https://yt3.ggpht.com/a/AATXAJzugIDzzohNFQbxEZ6Ccg7nrvGIuyrSPRVvew=s88-c-k-c0xffffffff-no-rj-mo</v>
      </c>
      <c r="AL44" s="80">
        <v>0</v>
      </c>
      <c r="AM44" s="80">
        <v>0</v>
      </c>
      <c r="AN44" s="80">
        <v>0</v>
      </c>
      <c r="AO44" s="80" t="b">
        <v>0</v>
      </c>
      <c r="AP44" s="80">
        <v>0</v>
      </c>
      <c r="AQ44" s="80"/>
      <c r="AR44" s="80"/>
      <c r="AS44" s="80" t="s">
        <v>230</v>
      </c>
      <c r="AT44" s="82" t="str">
        <f>HYPERLINK("https://www.youtube.com/channel/UCGOS8_DGX0dvUTeW79t4cdQ")</f>
        <v>https://www.youtube.com/channel/UCGOS8_DGX0dvUTeW79t4cdQ</v>
      </c>
      <c r="AU44" s="79" t="str">
        <f>REPLACE(INDEX(GroupVertices[Group],MATCH(Vertices[[#This Row],[Vertex]],GroupVertices[Vertex],0)),1,1,"")</f>
        <v>2</v>
      </c>
      <c r="AV44" s="48"/>
      <c r="AW44" s="49"/>
      <c r="AX44" s="48"/>
      <c r="AY44" s="49"/>
      <c r="AZ44" s="48"/>
      <c r="BA44" s="49"/>
      <c r="BB44" s="48"/>
      <c r="BC44" s="49"/>
      <c r="BD44" s="48"/>
      <c r="BE44" s="120" t="s">
        <v>408</v>
      </c>
      <c r="BF44" s="120" t="s">
        <v>408</v>
      </c>
      <c r="BG44" s="120" t="s">
        <v>408</v>
      </c>
      <c r="BH44" s="120" t="s">
        <v>408</v>
      </c>
      <c r="BI44" s="2"/>
      <c r="BJ44" s="3"/>
      <c r="BK44" s="3"/>
      <c r="BL44" s="3"/>
      <c r="BM44" s="3"/>
    </row>
    <row r="45" spans="1:65" ht="15">
      <c r="A45" s="65" t="s">
        <v>488</v>
      </c>
      <c r="B45" s="66"/>
      <c r="C45" s="66"/>
      <c r="D45" s="67">
        <v>200</v>
      </c>
      <c r="E45" s="127"/>
      <c r="F45" s="98" t="str">
        <f>HYPERLINK("https://yt3.ggpht.com/a/AATXAJyWlgHxr34KggKSfgrLZrpcO8zT0n9LL2mICQ=s88-c-k-c0xffffffff-no-rj-mo")</f>
        <v>https://yt3.ggpht.com/a/AATXAJyWlgHxr34KggKSfgrLZrpcO8zT0n9LL2mICQ=s88-c-k-c0xffffffff-no-rj-mo</v>
      </c>
      <c r="G45" s="128"/>
      <c r="H45" s="70" t="s">
        <v>950</v>
      </c>
      <c r="I45" s="71"/>
      <c r="J45" s="129"/>
      <c r="K45" s="70" t="s">
        <v>950</v>
      </c>
      <c r="L45" s="130">
        <v>1</v>
      </c>
      <c r="M45" s="75">
        <v>1261.4373779296875</v>
      </c>
      <c r="N45" s="75">
        <v>247.90908813476562</v>
      </c>
      <c r="O45" s="76"/>
      <c r="P45" s="77"/>
      <c r="Q45" s="77"/>
      <c r="R45" s="131"/>
      <c r="S45" s="48">
        <v>0</v>
      </c>
      <c r="T45" s="48">
        <v>1</v>
      </c>
      <c r="U45" s="49">
        <v>0</v>
      </c>
      <c r="V45" s="49">
        <v>0.006061</v>
      </c>
      <c r="W45" s="49">
        <v>0.003935</v>
      </c>
      <c r="X45" s="49">
        <v>0.558939</v>
      </c>
      <c r="Y45" s="49">
        <v>0</v>
      </c>
      <c r="Z45" s="49">
        <v>0</v>
      </c>
      <c r="AA45" s="72">
        <v>45</v>
      </c>
      <c r="AB45" s="72"/>
      <c r="AC45" s="73"/>
      <c r="AD45" s="80" t="s">
        <v>950</v>
      </c>
      <c r="AE45" s="80"/>
      <c r="AF45" s="80"/>
      <c r="AG45" s="80"/>
      <c r="AH45" s="80"/>
      <c r="AI45" s="80"/>
      <c r="AJ45" s="84">
        <v>41884.30017361111</v>
      </c>
      <c r="AK45" s="82" t="str">
        <f>HYPERLINK("https://yt3.ggpht.com/a/AATXAJyWlgHxr34KggKSfgrLZrpcO8zT0n9LL2mICQ=s88-c-k-c0xffffffff-no-rj-mo")</f>
        <v>https://yt3.ggpht.com/a/AATXAJyWlgHxr34KggKSfgrLZrpcO8zT0n9LL2mICQ=s88-c-k-c0xffffffff-no-rj-mo</v>
      </c>
      <c r="AL45" s="80">
        <v>0</v>
      </c>
      <c r="AM45" s="80">
        <v>0</v>
      </c>
      <c r="AN45" s="80">
        <v>0</v>
      </c>
      <c r="AO45" s="80" t="b">
        <v>0</v>
      </c>
      <c r="AP45" s="80">
        <v>0</v>
      </c>
      <c r="AQ45" s="80"/>
      <c r="AR45" s="80"/>
      <c r="AS45" s="80" t="s">
        <v>230</v>
      </c>
      <c r="AT45" s="82" t="str">
        <f>HYPERLINK("https://www.youtube.com/channel/UCH28ti2JbgebtjJoLCda91g")</f>
        <v>https://www.youtube.com/channel/UCH28ti2JbgebtjJoLCda91g</v>
      </c>
      <c r="AU45" s="79" t="str">
        <f>REPLACE(INDEX(GroupVertices[Group],MATCH(Vertices[[#This Row],[Vertex]],GroupVertices[Vertex],0)),1,1,"")</f>
        <v>2</v>
      </c>
      <c r="AV45" s="48"/>
      <c r="AW45" s="49"/>
      <c r="AX45" s="48"/>
      <c r="AY45" s="49"/>
      <c r="AZ45" s="48"/>
      <c r="BA45" s="49"/>
      <c r="BB45" s="48"/>
      <c r="BC45" s="49"/>
      <c r="BD45" s="48"/>
      <c r="BE45" s="120" t="s">
        <v>408</v>
      </c>
      <c r="BF45" s="120" t="s">
        <v>408</v>
      </c>
      <c r="BG45" s="120" t="s">
        <v>408</v>
      </c>
      <c r="BH45" s="120" t="s">
        <v>408</v>
      </c>
      <c r="BI45" s="2"/>
      <c r="BJ45" s="3"/>
      <c r="BK45" s="3"/>
      <c r="BL45" s="3"/>
      <c r="BM45" s="3"/>
    </row>
    <row r="46" spans="1:65" ht="15">
      <c r="A46" s="65" t="s">
        <v>489</v>
      </c>
      <c r="B46" s="66"/>
      <c r="C46" s="66"/>
      <c r="D46" s="67">
        <v>733.3333333333334</v>
      </c>
      <c r="E46" s="127"/>
      <c r="F46" s="98" t="str">
        <f>HYPERLINK("https://yt3.ggpht.com/a/AATXAJzmy0Pp3iY9yKYuYJBl0j60KmUuWBo079szTQ=s88-c-k-c0xffffffff-no-rj-mo")</f>
        <v>https://yt3.ggpht.com/a/AATXAJzmy0Pp3iY9yKYuYJBl0j60KmUuWBo079szTQ=s88-c-k-c0xffffffff-no-rj-mo</v>
      </c>
      <c r="G46" s="128"/>
      <c r="H46" s="70" t="s">
        <v>951</v>
      </c>
      <c r="I46" s="71"/>
      <c r="J46" s="129"/>
      <c r="K46" s="70" t="s">
        <v>951</v>
      </c>
      <c r="L46" s="130">
        <v>646.0322580645161</v>
      </c>
      <c r="M46" s="75">
        <v>1490.25634765625</v>
      </c>
      <c r="N46" s="75">
        <v>1178.2894287109375</v>
      </c>
      <c r="O46" s="76"/>
      <c r="P46" s="77"/>
      <c r="Q46" s="77"/>
      <c r="R46" s="131"/>
      <c r="S46" s="48">
        <v>2</v>
      </c>
      <c r="T46" s="48">
        <v>1</v>
      </c>
      <c r="U46" s="49">
        <v>98</v>
      </c>
      <c r="V46" s="49">
        <v>0.008621</v>
      </c>
      <c r="W46" s="49">
        <v>0.023107</v>
      </c>
      <c r="X46" s="49">
        <v>0.962209</v>
      </c>
      <c r="Y46" s="49">
        <v>0</v>
      </c>
      <c r="Z46" s="49">
        <v>0.5</v>
      </c>
      <c r="AA46" s="72">
        <v>46</v>
      </c>
      <c r="AB46" s="72"/>
      <c r="AC46" s="73"/>
      <c r="AD46" s="80" t="s">
        <v>951</v>
      </c>
      <c r="AE46" s="80"/>
      <c r="AF46" s="80"/>
      <c r="AG46" s="80"/>
      <c r="AH46" s="80"/>
      <c r="AI46" s="80"/>
      <c r="AJ46" s="84">
        <v>43958.625243055554</v>
      </c>
      <c r="AK46" s="82" t="str">
        <f>HYPERLINK("https://yt3.ggpht.com/a/AATXAJzmy0Pp3iY9yKYuYJBl0j60KmUuWBo079szTQ=s88-c-k-c0xffffffff-no-rj-mo")</f>
        <v>https://yt3.ggpht.com/a/AATXAJzmy0Pp3iY9yKYuYJBl0j60KmUuWBo079szTQ=s88-c-k-c0xffffffff-no-rj-mo</v>
      </c>
      <c r="AL46" s="80">
        <v>0</v>
      </c>
      <c r="AM46" s="80">
        <v>0</v>
      </c>
      <c r="AN46" s="80">
        <v>0</v>
      </c>
      <c r="AO46" s="80" t="b">
        <v>0</v>
      </c>
      <c r="AP46" s="80">
        <v>0</v>
      </c>
      <c r="AQ46" s="80"/>
      <c r="AR46" s="80"/>
      <c r="AS46" s="80" t="s">
        <v>230</v>
      </c>
      <c r="AT46" s="82" t="str">
        <f>HYPERLINK("https://www.youtube.com/channel/UC_eBsljmqd2ATK8SrWCOXKw")</f>
        <v>https://www.youtube.com/channel/UC_eBsljmqd2ATK8SrWCOXKw</v>
      </c>
      <c r="AU46" s="79" t="str">
        <f>REPLACE(INDEX(GroupVertices[Group],MATCH(Vertices[[#This Row],[Vertex]],GroupVertices[Vertex],0)),1,1,"")</f>
        <v>2</v>
      </c>
      <c r="AV46" s="48"/>
      <c r="AW46" s="49"/>
      <c r="AX46" s="48"/>
      <c r="AY46" s="49"/>
      <c r="AZ46" s="48"/>
      <c r="BA46" s="49"/>
      <c r="BB46" s="48"/>
      <c r="BC46" s="49"/>
      <c r="BD46" s="48"/>
      <c r="BE46" s="120" t="s">
        <v>408</v>
      </c>
      <c r="BF46" s="120" t="s">
        <v>408</v>
      </c>
      <c r="BG46" s="120" t="s">
        <v>408</v>
      </c>
      <c r="BH46" s="120" t="s">
        <v>408</v>
      </c>
      <c r="BI46" s="2"/>
      <c r="BJ46" s="3"/>
      <c r="BK46" s="3"/>
      <c r="BL46" s="3"/>
      <c r="BM46" s="3"/>
    </row>
    <row r="47" spans="1:65" ht="15">
      <c r="A47" s="65" t="s">
        <v>490</v>
      </c>
      <c r="B47" s="66"/>
      <c r="C47" s="66"/>
      <c r="D47" s="67">
        <v>466.6666666666667</v>
      </c>
      <c r="E47" s="127"/>
      <c r="F47" s="98" t="str">
        <f>HYPERLINK("https://yt3.ggpht.com/a/AATXAJxP7FyO8DuGVMGUgib2EiH_dPjMdj5AtR6q=s88-c-k-c0xffffffff-no-rj-mo")</f>
        <v>https://yt3.ggpht.com/a/AATXAJxP7FyO8DuGVMGUgib2EiH_dPjMdj5AtR6q=s88-c-k-c0xffffffff-no-rj-mo</v>
      </c>
      <c r="G47" s="128"/>
      <c r="H47" s="70" t="s">
        <v>952</v>
      </c>
      <c r="I47" s="71"/>
      <c r="J47" s="129"/>
      <c r="K47" s="70" t="s">
        <v>952</v>
      </c>
      <c r="L47" s="130">
        <v>323.51612903225805</v>
      </c>
      <c r="M47" s="75">
        <v>9788.9150390625</v>
      </c>
      <c r="N47" s="75">
        <v>7602.54541015625</v>
      </c>
      <c r="O47" s="76"/>
      <c r="P47" s="77"/>
      <c r="Q47" s="77"/>
      <c r="R47" s="131"/>
      <c r="S47" s="48">
        <v>1</v>
      </c>
      <c r="T47" s="48">
        <v>1</v>
      </c>
      <c r="U47" s="49">
        <v>45</v>
      </c>
      <c r="V47" s="49">
        <v>0.008621</v>
      </c>
      <c r="W47" s="49">
        <v>0.024086</v>
      </c>
      <c r="X47" s="49">
        <v>0.855266</v>
      </c>
      <c r="Y47" s="49">
        <v>0</v>
      </c>
      <c r="Z47" s="49">
        <v>0</v>
      </c>
      <c r="AA47" s="72">
        <v>47</v>
      </c>
      <c r="AB47" s="72"/>
      <c r="AC47" s="73"/>
      <c r="AD47" s="80" t="s">
        <v>952</v>
      </c>
      <c r="AE47" s="80"/>
      <c r="AF47" s="80"/>
      <c r="AG47" s="80"/>
      <c r="AH47" s="80"/>
      <c r="AI47" s="80"/>
      <c r="AJ47" s="84">
        <v>39290.76515046296</v>
      </c>
      <c r="AK47" s="82" t="str">
        <f>HYPERLINK("https://yt3.ggpht.com/a/AATXAJxP7FyO8DuGVMGUgib2EiH_dPjMdj5AtR6q=s88-c-k-c0xffffffff-no-rj-mo")</f>
        <v>https://yt3.ggpht.com/a/AATXAJxP7FyO8DuGVMGUgib2EiH_dPjMdj5AtR6q=s88-c-k-c0xffffffff-no-rj-mo</v>
      </c>
      <c r="AL47" s="80">
        <v>412</v>
      </c>
      <c r="AM47" s="80">
        <v>0</v>
      </c>
      <c r="AN47" s="80">
        <v>1</v>
      </c>
      <c r="AO47" s="80" t="b">
        <v>0</v>
      </c>
      <c r="AP47" s="80">
        <v>2</v>
      </c>
      <c r="AQ47" s="80"/>
      <c r="AR47" s="80"/>
      <c r="AS47" s="80" t="s">
        <v>230</v>
      </c>
      <c r="AT47" s="82" t="str">
        <f>HYPERLINK("https://www.youtube.com/channel/UC0L2P2J4fT5s2-UPhWQIZsg")</f>
        <v>https://www.youtube.com/channel/UC0L2P2J4fT5s2-UPhWQIZsg</v>
      </c>
      <c r="AU47" s="79" t="str">
        <f>REPLACE(INDEX(GroupVertices[Group],MATCH(Vertices[[#This Row],[Vertex]],GroupVertices[Vertex],0)),1,1,"")</f>
        <v>11</v>
      </c>
      <c r="AV47" s="48"/>
      <c r="AW47" s="49"/>
      <c r="AX47" s="48"/>
      <c r="AY47" s="49"/>
      <c r="AZ47" s="48"/>
      <c r="BA47" s="49"/>
      <c r="BB47" s="48"/>
      <c r="BC47" s="49"/>
      <c r="BD47" s="48"/>
      <c r="BE47" s="120" t="s">
        <v>408</v>
      </c>
      <c r="BF47" s="120" t="s">
        <v>408</v>
      </c>
      <c r="BG47" s="120" t="s">
        <v>408</v>
      </c>
      <c r="BH47" s="120" t="s">
        <v>408</v>
      </c>
      <c r="BI47" s="2"/>
      <c r="BJ47" s="3"/>
      <c r="BK47" s="3"/>
      <c r="BL47" s="3"/>
      <c r="BM47" s="3"/>
    </row>
    <row r="48" spans="1:65" ht="15">
      <c r="A48" s="65" t="s">
        <v>491</v>
      </c>
      <c r="B48" s="66"/>
      <c r="C48" s="66"/>
      <c r="D48" s="67">
        <v>466.6666666666667</v>
      </c>
      <c r="E48" s="127"/>
      <c r="F48" s="98" t="str">
        <f>HYPERLINK("https://yt3.ggpht.com/a/AATXAJxORxB4p7Z_y99Q9mDFDCftVByKCF7fs-Ex=s88-c-k-c0xffffffff-no-rj-mo")</f>
        <v>https://yt3.ggpht.com/a/AATXAJxORxB4p7Z_y99Q9mDFDCftVByKCF7fs-Ex=s88-c-k-c0xffffffff-no-rj-mo</v>
      </c>
      <c r="G48" s="128"/>
      <c r="H48" s="70" t="s">
        <v>953</v>
      </c>
      <c r="I48" s="71"/>
      <c r="J48" s="129"/>
      <c r="K48" s="70" t="s">
        <v>953</v>
      </c>
      <c r="L48" s="130">
        <v>323.51612903225805</v>
      </c>
      <c r="M48" s="75">
        <v>1567.2359619140625</v>
      </c>
      <c r="N48" s="75">
        <v>2029.906982421875</v>
      </c>
      <c r="O48" s="76"/>
      <c r="P48" s="77"/>
      <c r="Q48" s="77"/>
      <c r="R48" s="131"/>
      <c r="S48" s="48">
        <v>1</v>
      </c>
      <c r="T48" s="48">
        <v>1</v>
      </c>
      <c r="U48" s="49">
        <v>0</v>
      </c>
      <c r="V48" s="49">
        <v>0.008475</v>
      </c>
      <c r="W48" s="49">
        <v>0.02243</v>
      </c>
      <c r="X48" s="49">
        <v>0.487112</v>
      </c>
      <c r="Y48" s="49">
        <v>0</v>
      </c>
      <c r="Z48" s="49">
        <v>1</v>
      </c>
      <c r="AA48" s="72">
        <v>48</v>
      </c>
      <c r="AB48" s="72"/>
      <c r="AC48" s="73"/>
      <c r="AD48" s="80" t="s">
        <v>953</v>
      </c>
      <c r="AE48" s="80"/>
      <c r="AF48" s="80"/>
      <c r="AG48" s="80"/>
      <c r="AH48" s="80"/>
      <c r="AI48" s="80"/>
      <c r="AJ48" s="84">
        <v>40820.39231481482</v>
      </c>
      <c r="AK48" s="82" t="str">
        <f>HYPERLINK("https://yt3.ggpht.com/a/AATXAJxORxB4p7Z_y99Q9mDFDCftVByKCF7fs-Ex=s88-c-k-c0xffffffff-no-rj-mo")</f>
        <v>https://yt3.ggpht.com/a/AATXAJxORxB4p7Z_y99Q9mDFDCftVByKCF7fs-Ex=s88-c-k-c0xffffffff-no-rj-mo</v>
      </c>
      <c r="AL48" s="80">
        <v>0</v>
      </c>
      <c r="AM48" s="80">
        <v>0</v>
      </c>
      <c r="AN48" s="80">
        <v>0</v>
      </c>
      <c r="AO48" s="80" t="b">
        <v>0</v>
      </c>
      <c r="AP48" s="80">
        <v>0</v>
      </c>
      <c r="AQ48" s="80"/>
      <c r="AR48" s="80"/>
      <c r="AS48" s="80" t="s">
        <v>230</v>
      </c>
      <c r="AT48" s="82" t="str">
        <f>HYPERLINK("https://www.youtube.com/channel/UCNPsQn3CSE8nBwTKt4qDdaw")</f>
        <v>https://www.youtube.com/channel/UCNPsQn3CSE8nBwTKt4qDdaw</v>
      </c>
      <c r="AU48" s="79" t="str">
        <f>REPLACE(INDEX(GroupVertices[Group],MATCH(Vertices[[#This Row],[Vertex]],GroupVertices[Vertex],0)),1,1,"")</f>
        <v>2</v>
      </c>
      <c r="AV48" s="48"/>
      <c r="AW48" s="49"/>
      <c r="AX48" s="48"/>
      <c r="AY48" s="49"/>
      <c r="AZ48" s="48"/>
      <c r="BA48" s="49"/>
      <c r="BB48" s="48"/>
      <c r="BC48" s="49"/>
      <c r="BD48" s="48"/>
      <c r="BE48" s="120" t="s">
        <v>408</v>
      </c>
      <c r="BF48" s="120" t="s">
        <v>408</v>
      </c>
      <c r="BG48" s="120" t="s">
        <v>408</v>
      </c>
      <c r="BH48" s="120" t="s">
        <v>408</v>
      </c>
      <c r="BI48" s="2"/>
      <c r="BJ48" s="3"/>
      <c r="BK48" s="3"/>
      <c r="BL48" s="3"/>
      <c r="BM48" s="3"/>
    </row>
    <row r="49" spans="1:65" ht="15">
      <c r="A49" s="65" t="s">
        <v>492</v>
      </c>
      <c r="B49" s="66"/>
      <c r="C49" s="66"/>
      <c r="D49" s="67">
        <v>200</v>
      </c>
      <c r="E49" s="127"/>
      <c r="F49" s="98" t="str">
        <f>HYPERLINK("https://yt3.ggpht.com/a/AATXAJx_1SZ1U_aLtAj_KxwvWTREH4Qvdt9TN3dnLQ=s88-c-k-c0xffffffff-no-rj-mo")</f>
        <v>https://yt3.ggpht.com/a/AATXAJx_1SZ1U_aLtAj_KxwvWTREH4Qvdt9TN3dnLQ=s88-c-k-c0xffffffff-no-rj-mo</v>
      </c>
      <c r="G49" s="128"/>
      <c r="H49" s="70" t="s">
        <v>954</v>
      </c>
      <c r="I49" s="71"/>
      <c r="J49" s="129"/>
      <c r="K49" s="70" t="s">
        <v>954</v>
      </c>
      <c r="L49" s="130">
        <v>1</v>
      </c>
      <c r="M49" s="75">
        <v>159.5585174560547</v>
      </c>
      <c r="N49" s="75">
        <v>1786.814697265625</v>
      </c>
      <c r="O49" s="76"/>
      <c r="P49" s="77"/>
      <c r="Q49" s="77"/>
      <c r="R49" s="131"/>
      <c r="S49" s="48">
        <v>0</v>
      </c>
      <c r="T49" s="48">
        <v>1</v>
      </c>
      <c r="U49" s="49">
        <v>0</v>
      </c>
      <c r="V49" s="49">
        <v>0.006061</v>
      </c>
      <c r="W49" s="49">
        <v>0.003935</v>
      </c>
      <c r="X49" s="49">
        <v>0.558939</v>
      </c>
      <c r="Y49" s="49">
        <v>0</v>
      </c>
      <c r="Z49" s="49">
        <v>0</v>
      </c>
      <c r="AA49" s="72">
        <v>49</v>
      </c>
      <c r="AB49" s="72"/>
      <c r="AC49" s="73"/>
      <c r="AD49" s="80" t="s">
        <v>954</v>
      </c>
      <c r="AE49" s="80"/>
      <c r="AF49" s="80"/>
      <c r="AG49" s="80"/>
      <c r="AH49" s="80"/>
      <c r="AI49" s="80"/>
      <c r="AJ49" s="84">
        <v>41246.81795138889</v>
      </c>
      <c r="AK49" s="82" t="str">
        <f>HYPERLINK("https://yt3.ggpht.com/a/AATXAJx_1SZ1U_aLtAj_KxwvWTREH4Qvdt9TN3dnLQ=s88-c-k-c0xffffffff-no-rj-mo")</f>
        <v>https://yt3.ggpht.com/a/AATXAJx_1SZ1U_aLtAj_KxwvWTREH4Qvdt9TN3dnLQ=s88-c-k-c0xffffffff-no-rj-mo</v>
      </c>
      <c r="AL49" s="80">
        <v>0</v>
      </c>
      <c r="AM49" s="80">
        <v>0</v>
      </c>
      <c r="AN49" s="80">
        <v>0</v>
      </c>
      <c r="AO49" s="80" t="b">
        <v>0</v>
      </c>
      <c r="AP49" s="80">
        <v>0</v>
      </c>
      <c r="AQ49" s="80"/>
      <c r="AR49" s="80"/>
      <c r="AS49" s="80" t="s">
        <v>230</v>
      </c>
      <c r="AT49" s="82" t="str">
        <f>HYPERLINK("https://www.youtube.com/channel/UCYuTigupd7XdxlWkFVKBx9w")</f>
        <v>https://www.youtube.com/channel/UCYuTigupd7XdxlWkFVKBx9w</v>
      </c>
      <c r="AU49" s="79" t="str">
        <f>REPLACE(INDEX(GroupVertices[Group],MATCH(Vertices[[#This Row],[Vertex]],GroupVertices[Vertex],0)),1,1,"")</f>
        <v>2</v>
      </c>
      <c r="AV49" s="48"/>
      <c r="AW49" s="49"/>
      <c r="AX49" s="48"/>
      <c r="AY49" s="49"/>
      <c r="AZ49" s="48"/>
      <c r="BA49" s="49"/>
      <c r="BB49" s="48"/>
      <c r="BC49" s="49"/>
      <c r="BD49" s="48"/>
      <c r="BE49" s="120" t="s">
        <v>408</v>
      </c>
      <c r="BF49" s="120" t="s">
        <v>408</v>
      </c>
      <c r="BG49" s="120" t="s">
        <v>408</v>
      </c>
      <c r="BH49" s="120" t="s">
        <v>408</v>
      </c>
      <c r="BI49" s="2"/>
      <c r="BJ49" s="3"/>
      <c r="BK49" s="3"/>
      <c r="BL49" s="3"/>
      <c r="BM49" s="3"/>
    </row>
    <row r="50" spans="1:65" ht="15">
      <c r="A50" s="65" t="s">
        <v>493</v>
      </c>
      <c r="B50" s="66"/>
      <c r="C50" s="66"/>
      <c r="D50" s="67">
        <v>733.3333333333334</v>
      </c>
      <c r="E50" s="127"/>
      <c r="F50" s="98" t="str">
        <f>HYPERLINK("https://yt3.ggpht.com/a/AATXAJwDRMxte-Yv-tyY-6IuQK-v5p26wiLW81GpIA=s88-c-k-c0xffffffff-no-rj-mo")</f>
        <v>https://yt3.ggpht.com/a/AATXAJwDRMxte-Yv-tyY-6IuQK-v5p26wiLW81GpIA=s88-c-k-c0xffffffff-no-rj-mo</v>
      </c>
      <c r="G50" s="128"/>
      <c r="H50" s="70" t="s">
        <v>955</v>
      </c>
      <c r="I50" s="71"/>
      <c r="J50" s="129"/>
      <c r="K50" s="70" t="s">
        <v>955</v>
      </c>
      <c r="L50" s="130">
        <v>646.0322580645161</v>
      </c>
      <c r="M50" s="75">
        <v>916.1113891601562</v>
      </c>
      <c r="N50" s="75">
        <v>2119.6240234375</v>
      </c>
      <c r="O50" s="76"/>
      <c r="P50" s="77"/>
      <c r="Q50" s="77"/>
      <c r="R50" s="131"/>
      <c r="S50" s="48">
        <v>2</v>
      </c>
      <c r="T50" s="48">
        <v>1</v>
      </c>
      <c r="U50" s="49">
        <v>98</v>
      </c>
      <c r="V50" s="49">
        <v>0.008621</v>
      </c>
      <c r="W50" s="49">
        <v>0.023107</v>
      </c>
      <c r="X50" s="49">
        <v>0.962209</v>
      </c>
      <c r="Y50" s="49">
        <v>0</v>
      </c>
      <c r="Z50" s="49">
        <v>0.5</v>
      </c>
      <c r="AA50" s="72">
        <v>50</v>
      </c>
      <c r="AB50" s="72"/>
      <c r="AC50" s="73"/>
      <c r="AD50" s="80" t="s">
        <v>955</v>
      </c>
      <c r="AE50" s="80"/>
      <c r="AF50" s="80"/>
      <c r="AG50" s="80"/>
      <c r="AH50" s="80"/>
      <c r="AI50" s="80"/>
      <c r="AJ50" s="84">
        <v>40773.4955787037</v>
      </c>
      <c r="AK50" s="82" t="str">
        <f>HYPERLINK("https://yt3.ggpht.com/a/AATXAJwDRMxte-Yv-tyY-6IuQK-v5p26wiLW81GpIA=s88-c-k-c0xffffffff-no-rj-mo")</f>
        <v>https://yt3.ggpht.com/a/AATXAJwDRMxte-Yv-tyY-6IuQK-v5p26wiLW81GpIA=s88-c-k-c0xffffffff-no-rj-mo</v>
      </c>
      <c r="AL50" s="80">
        <v>0</v>
      </c>
      <c r="AM50" s="80">
        <v>0</v>
      </c>
      <c r="AN50" s="80">
        <v>2</v>
      </c>
      <c r="AO50" s="80" t="b">
        <v>0</v>
      </c>
      <c r="AP50" s="80">
        <v>0</v>
      </c>
      <c r="AQ50" s="80"/>
      <c r="AR50" s="80"/>
      <c r="AS50" s="80" t="s">
        <v>230</v>
      </c>
      <c r="AT50" s="82" t="str">
        <f>HYPERLINK("https://www.youtube.com/channel/UCYel16PKs3LGkCpXakqFq1w")</f>
        <v>https://www.youtube.com/channel/UCYel16PKs3LGkCpXakqFq1w</v>
      </c>
      <c r="AU50" s="79" t="str">
        <f>REPLACE(INDEX(GroupVertices[Group],MATCH(Vertices[[#This Row],[Vertex]],GroupVertices[Vertex],0)),1,1,"")</f>
        <v>2</v>
      </c>
      <c r="AV50" s="48"/>
      <c r="AW50" s="49"/>
      <c r="AX50" s="48"/>
      <c r="AY50" s="49"/>
      <c r="AZ50" s="48"/>
      <c r="BA50" s="49"/>
      <c r="BB50" s="48"/>
      <c r="BC50" s="49"/>
      <c r="BD50" s="48"/>
      <c r="BE50" s="120" t="s">
        <v>408</v>
      </c>
      <c r="BF50" s="120" t="s">
        <v>408</v>
      </c>
      <c r="BG50" s="120" t="s">
        <v>408</v>
      </c>
      <c r="BH50" s="120" t="s">
        <v>408</v>
      </c>
      <c r="BI50" s="2"/>
      <c r="BJ50" s="3"/>
      <c r="BK50" s="3"/>
      <c r="BL50" s="3"/>
      <c r="BM50" s="3"/>
    </row>
    <row r="51" spans="1:65" ht="15">
      <c r="A51" s="65" t="s">
        <v>494</v>
      </c>
      <c r="B51" s="66"/>
      <c r="C51" s="66"/>
      <c r="D51" s="67">
        <v>466.6666666666667</v>
      </c>
      <c r="E51" s="127"/>
      <c r="F51" s="98" t="str">
        <f>HYPERLINK("https://yt3.ggpht.com/a/AATXAJwcIvuhgg5YDqgsuEMoG8cFYef2x7vs0nFczw=s88-c-k-c0xffffffff-no-rj-mo")</f>
        <v>https://yt3.ggpht.com/a/AATXAJwcIvuhgg5YDqgsuEMoG8cFYef2x7vs0nFczw=s88-c-k-c0xffffffff-no-rj-mo</v>
      </c>
      <c r="G51" s="128"/>
      <c r="H51" s="70" t="s">
        <v>956</v>
      </c>
      <c r="I51" s="71"/>
      <c r="J51" s="129"/>
      <c r="K51" s="70" t="s">
        <v>956</v>
      </c>
      <c r="L51" s="130">
        <v>323.51612903225805</v>
      </c>
      <c r="M51" s="75">
        <v>2575.719482421875</v>
      </c>
      <c r="N51" s="75">
        <v>2451.423583984375</v>
      </c>
      <c r="O51" s="76"/>
      <c r="P51" s="77"/>
      <c r="Q51" s="77"/>
      <c r="R51" s="131"/>
      <c r="S51" s="48">
        <v>1</v>
      </c>
      <c r="T51" s="48">
        <v>1</v>
      </c>
      <c r="U51" s="49">
        <v>0</v>
      </c>
      <c r="V51" s="49">
        <v>0.008475</v>
      </c>
      <c r="W51" s="49">
        <v>0.02243</v>
      </c>
      <c r="X51" s="49">
        <v>0.487112</v>
      </c>
      <c r="Y51" s="49">
        <v>0</v>
      </c>
      <c r="Z51" s="49">
        <v>1</v>
      </c>
      <c r="AA51" s="72">
        <v>51</v>
      </c>
      <c r="AB51" s="72"/>
      <c r="AC51" s="73"/>
      <c r="AD51" s="80" t="s">
        <v>956</v>
      </c>
      <c r="AE51" s="80"/>
      <c r="AF51" s="80"/>
      <c r="AG51" s="80"/>
      <c r="AH51" s="80"/>
      <c r="AI51" s="80"/>
      <c r="AJ51" s="84">
        <v>43137.738703703704</v>
      </c>
      <c r="AK51" s="82" t="str">
        <f>HYPERLINK("https://yt3.ggpht.com/a/AATXAJwcIvuhgg5YDqgsuEMoG8cFYef2x7vs0nFczw=s88-c-k-c0xffffffff-no-rj-mo")</f>
        <v>https://yt3.ggpht.com/a/AATXAJwcIvuhgg5YDqgsuEMoG8cFYef2x7vs0nFczw=s88-c-k-c0xffffffff-no-rj-mo</v>
      </c>
      <c r="AL51" s="80">
        <v>0</v>
      </c>
      <c r="AM51" s="80">
        <v>0</v>
      </c>
      <c r="AN51" s="80">
        <v>0</v>
      </c>
      <c r="AO51" s="80" t="b">
        <v>0</v>
      </c>
      <c r="AP51" s="80">
        <v>0</v>
      </c>
      <c r="AQ51" s="80"/>
      <c r="AR51" s="80"/>
      <c r="AS51" s="80" t="s">
        <v>230</v>
      </c>
      <c r="AT51" s="82" t="str">
        <f>HYPERLINK("https://www.youtube.com/channel/UCYz5XRS6e7daa20C_qDCFRQ")</f>
        <v>https://www.youtube.com/channel/UCYz5XRS6e7daa20C_qDCFRQ</v>
      </c>
      <c r="AU51" s="79" t="str">
        <f>REPLACE(INDEX(GroupVertices[Group],MATCH(Vertices[[#This Row],[Vertex]],GroupVertices[Vertex],0)),1,1,"")</f>
        <v>2</v>
      </c>
      <c r="AV51" s="48"/>
      <c r="AW51" s="49"/>
      <c r="AX51" s="48"/>
      <c r="AY51" s="49"/>
      <c r="AZ51" s="48"/>
      <c r="BA51" s="49"/>
      <c r="BB51" s="48"/>
      <c r="BC51" s="49"/>
      <c r="BD51" s="48"/>
      <c r="BE51" s="120" t="s">
        <v>408</v>
      </c>
      <c r="BF51" s="120" t="s">
        <v>408</v>
      </c>
      <c r="BG51" s="120" t="s">
        <v>408</v>
      </c>
      <c r="BH51" s="120" t="s">
        <v>408</v>
      </c>
      <c r="BI51" s="2"/>
      <c r="BJ51" s="3"/>
      <c r="BK51" s="3"/>
      <c r="BL51" s="3"/>
      <c r="BM51" s="3"/>
    </row>
    <row r="52" spans="1:65" ht="15">
      <c r="A52" s="65" t="s">
        <v>495</v>
      </c>
      <c r="B52" s="66"/>
      <c r="C52" s="66"/>
      <c r="D52" s="67">
        <v>466.6666666666667</v>
      </c>
      <c r="E52" s="127"/>
      <c r="F52" s="98" t="str">
        <f>HYPERLINK("https://yt3.ggpht.com/a/AATXAJwgu9MqcYX_uXPXwsw529xPu0xVei5zeYkt8Q=s88-c-k-c0xffffffff-no-rj-mo")</f>
        <v>https://yt3.ggpht.com/a/AATXAJwgu9MqcYX_uXPXwsw529xPu0xVei5zeYkt8Q=s88-c-k-c0xffffffff-no-rj-mo</v>
      </c>
      <c r="G52" s="128"/>
      <c r="H52" s="70" t="s">
        <v>957</v>
      </c>
      <c r="I52" s="71"/>
      <c r="J52" s="129"/>
      <c r="K52" s="70" t="s">
        <v>957</v>
      </c>
      <c r="L52" s="130">
        <v>323.51612903225805</v>
      </c>
      <c r="M52" s="75">
        <v>1457.8499755859375</v>
      </c>
      <c r="N52" s="75">
        <v>1581.5313720703125</v>
      </c>
      <c r="O52" s="76"/>
      <c r="P52" s="77"/>
      <c r="Q52" s="77"/>
      <c r="R52" s="131"/>
      <c r="S52" s="48">
        <v>1</v>
      </c>
      <c r="T52" s="48">
        <v>1</v>
      </c>
      <c r="U52" s="49">
        <v>0</v>
      </c>
      <c r="V52" s="49">
        <v>0.008475</v>
      </c>
      <c r="W52" s="49">
        <v>0.02243</v>
      </c>
      <c r="X52" s="49">
        <v>0.487112</v>
      </c>
      <c r="Y52" s="49">
        <v>0</v>
      </c>
      <c r="Z52" s="49">
        <v>1</v>
      </c>
      <c r="AA52" s="72">
        <v>52</v>
      </c>
      <c r="AB52" s="72"/>
      <c r="AC52" s="73"/>
      <c r="AD52" s="80" t="s">
        <v>957</v>
      </c>
      <c r="AE52" s="80"/>
      <c r="AF52" s="80"/>
      <c r="AG52" s="80"/>
      <c r="AH52" s="80"/>
      <c r="AI52" s="80"/>
      <c r="AJ52" s="84">
        <v>41402.519328703704</v>
      </c>
      <c r="AK52" s="82" t="str">
        <f>HYPERLINK("https://yt3.ggpht.com/a/AATXAJwgu9MqcYX_uXPXwsw529xPu0xVei5zeYkt8Q=s88-c-k-c0xffffffff-no-rj-mo")</f>
        <v>https://yt3.ggpht.com/a/AATXAJwgu9MqcYX_uXPXwsw529xPu0xVei5zeYkt8Q=s88-c-k-c0xffffffff-no-rj-mo</v>
      </c>
      <c r="AL52" s="80">
        <v>0</v>
      </c>
      <c r="AM52" s="80">
        <v>0</v>
      </c>
      <c r="AN52" s="80">
        <v>0</v>
      </c>
      <c r="AO52" s="80" t="b">
        <v>0</v>
      </c>
      <c r="AP52" s="80">
        <v>0</v>
      </c>
      <c r="AQ52" s="80"/>
      <c r="AR52" s="80"/>
      <c r="AS52" s="80" t="s">
        <v>230</v>
      </c>
      <c r="AT52" s="82" t="str">
        <f>HYPERLINK("https://www.youtube.com/channel/UCClNIl6RGNgDd-Iq2M5yNWQ")</f>
        <v>https://www.youtube.com/channel/UCClNIl6RGNgDd-Iq2M5yNWQ</v>
      </c>
      <c r="AU52" s="79" t="str">
        <f>REPLACE(INDEX(GroupVertices[Group],MATCH(Vertices[[#This Row],[Vertex]],GroupVertices[Vertex],0)),1,1,"")</f>
        <v>2</v>
      </c>
      <c r="AV52" s="48"/>
      <c r="AW52" s="49"/>
      <c r="AX52" s="48"/>
      <c r="AY52" s="49"/>
      <c r="AZ52" s="48"/>
      <c r="BA52" s="49"/>
      <c r="BB52" s="48"/>
      <c r="BC52" s="49"/>
      <c r="BD52" s="48"/>
      <c r="BE52" s="120" t="s">
        <v>408</v>
      </c>
      <c r="BF52" s="120" t="s">
        <v>408</v>
      </c>
      <c r="BG52" s="120" t="s">
        <v>408</v>
      </c>
      <c r="BH52" s="120" t="s">
        <v>408</v>
      </c>
      <c r="BI52" s="2"/>
      <c r="BJ52" s="3"/>
      <c r="BK52" s="3"/>
      <c r="BL52" s="3"/>
      <c r="BM52" s="3"/>
    </row>
    <row r="53" spans="1:65" ht="15">
      <c r="A53" s="65" t="s">
        <v>496</v>
      </c>
      <c r="B53" s="66"/>
      <c r="C53" s="66"/>
      <c r="D53" s="67">
        <v>733.3333333333334</v>
      </c>
      <c r="E53" s="127"/>
      <c r="F53" s="98" t="str">
        <f>HYPERLINK("https://yt3.ggpht.com/a/AATXAJzAHpDAqwduflynBtmK7nf1bhNB_a0BjwST-A=s88-c-k-c0xffffffff-no-rj-mo")</f>
        <v>https://yt3.ggpht.com/a/AATXAJzAHpDAqwduflynBtmK7nf1bhNB_a0BjwST-A=s88-c-k-c0xffffffff-no-rj-mo</v>
      </c>
      <c r="G53" s="128"/>
      <c r="H53" s="70" t="s">
        <v>958</v>
      </c>
      <c r="I53" s="71"/>
      <c r="J53" s="129"/>
      <c r="K53" s="70" t="s">
        <v>958</v>
      </c>
      <c r="L53" s="130">
        <v>646.0322580645161</v>
      </c>
      <c r="M53" s="75">
        <v>1541.3861083984375</v>
      </c>
      <c r="N53" s="75">
        <v>3213.685302734375</v>
      </c>
      <c r="O53" s="76"/>
      <c r="P53" s="77"/>
      <c r="Q53" s="77"/>
      <c r="R53" s="131"/>
      <c r="S53" s="48">
        <v>2</v>
      </c>
      <c r="T53" s="48">
        <v>2</v>
      </c>
      <c r="U53" s="49">
        <v>0</v>
      </c>
      <c r="V53" s="49">
        <v>0.008475</v>
      </c>
      <c r="W53" s="49">
        <v>0.027041</v>
      </c>
      <c r="X53" s="49">
        <v>0.84715</v>
      </c>
      <c r="Y53" s="49">
        <v>0</v>
      </c>
      <c r="Z53" s="49">
        <v>1</v>
      </c>
      <c r="AA53" s="72">
        <v>53</v>
      </c>
      <c r="AB53" s="72"/>
      <c r="AC53" s="73"/>
      <c r="AD53" s="80" t="s">
        <v>958</v>
      </c>
      <c r="AE53" s="80"/>
      <c r="AF53" s="80"/>
      <c r="AG53" s="80"/>
      <c r="AH53" s="80"/>
      <c r="AI53" s="80"/>
      <c r="AJ53" s="84">
        <v>44000.368483796294</v>
      </c>
      <c r="AK53" s="82" t="str">
        <f>HYPERLINK("https://yt3.ggpht.com/a/AATXAJzAHpDAqwduflynBtmK7nf1bhNB_a0BjwST-A=s88-c-k-c0xffffffff-no-rj-mo")</f>
        <v>https://yt3.ggpht.com/a/AATXAJzAHpDAqwduflynBtmK7nf1bhNB_a0BjwST-A=s88-c-k-c0xffffffff-no-rj-mo</v>
      </c>
      <c r="AL53" s="80">
        <v>0</v>
      </c>
      <c r="AM53" s="80">
        <v>0</v>
      </c>
      <c r="AN53" s="80">
        <v>0</v>
      </c>
      <c r="AO53" s="80" t="b">
        <v>0</v>
      </c>
      <c r="AP53" s="80">
        <v>0</v>
      </c>
      <c r="AQ53" s="80"/>
      <c r="AR53" s="80"/>
      <c r="AS53" s="80" t="s">
        <v>230</v>
      </c>
      <c r="AT53" s="82" t="str">
        <f>HYPERLINK("https://www.youtube.com/channel/UCgbwVKjs7REXm4t2I79THgw")</f>
        <v>https://www.youtube.com/channel/UCgbwVKjs7REXm4t2I79THgw</v>
      </c>
      <c r="AU53" s="79" t="str">
        <f>REPLACE(INDEX(GroupVertices[Group],MATCH(Vertices[[#This Row],[Vertex]],GroupVertices[Vertex],0)),1,1,"")</f>
        <v>2</v>
      </c>
      <c r="AV53" s="48"/>
      <c r="AW53" s="49"/>
      <c r="AX53" s="48"/>
      <c r="AY53" s="49"/>
      <c r="AZ53" s="48"/>
      <c r="BA53" s="49"/>
      <c r="BB53" s="48"/>
      <c r="BC53" s="49"/>
      <c r="BD53" s="48"/>
      <c r="BE53" s="120" t="s">
        <v>408</v>
      </c>
      <c r="BF53" s="120" t="s">
        <v>408</v>
      </c>
      <c r="BG53" s="120" t="s">
        <v>408</v>
      </c>
      <c r="BH53" s="120" t="s">
        <v>408</v>
      </c>
      <c r="BI53" s="2"/>
      <c r="BJ53" s="3"/>
      <c r="BK53" s="3"/>
      <c r="BL53" s="3"/>
      <c r="BM53" s="3"/>
    </row>
    <row r="54" spans="1:65" ht="15">
      <c r="A54" s="65" t="s">
        <v>497</v>
      </c>
      <c r="B54" s="66"/>
      <c r="C54" s="66"/>
      <c r="D54" s="67">
        <v>466.6666666666667</v>
      </c>
      <c r="E54" s="127"/>
      <c r="F54" s="98" t="str">
        <f>HYPERLINK("https://yt3.ggpht.com/a/AATXAJw4TjqDPc-mKnNxcsPdX2adBqZtO3jjxtNA3A=s88-c-k-c0xffffffff-no-rj-mo")</f>
        <v>https://yt3.ggpht.com/a/AATXAJw4TjqDPc-mKnNxcsPdX2adBqZtO3jjxtNA3A=s88-c-k-c0xffffffff-no-rj-mo</v>
      </c>
      <c r="G54" s="128"/>
      <c r="H54" s="70" t="s">
        <v>959</v>
      </c>
      <c r="I54" s="71"/>
      <c r="J54" s="129"/>
      <c r="K54" s="70" t="s">
        <v>959</v>
      </c>
      <c r="L54" s="130">
        <v>323.51612903225805</v>
      </c>
      <c r="M54" s="75">
        <v>2792.792236328125</v>
      </c>
      <c r="N54" s="75">
        <v>2645.571044921875</v>
      </c>
      <c r="O54" s="76"/>
      <c r="P54" s="77"/>
      <c r="Q54" s="77"/>
      <c r="R54" s="131"/>
      <c r="S54" s="48">
        <v>1</v>
      </c>
      <c r="T54" s="48">
        <v>1</v>
      </c>
      <c r="U54" s="49">
        <v>0</v>
      </c>
      <c r="V54" s="49">
        <v>0.008475</v>
      </c>
      <c r="W54" s="49">
        <v>0.02243</v>
      </c>
      <c r="X54" s="49">
        <v>0.487112</v>
      </c>
      <c r="Y54" s="49">
        <v>0</v>
      </c>
      <c r="Z54" s="49">
        <v>1</v>
      </c>
      <c r="AA54" s="72">
        <v>54</v>
      </c>
      <c r="AB54" s="72"/>
      <c r="AC54" s="73"/>
      <c r="AD54" s="80" t="s">
        <v>959</v>
      </c>
      <c r="AE54" s="80"/>
      <c r="AF54" s="80"/>
      <c r="AG54" s="80"/>
      <c r="AH54" s="80"/>
      <c r="AI54" s="80"/>
      <c r="AJ54" s="84">
        <v>41467.00628472222</v>
      </c>
      <c r="AK54" s="82" t="str">
        <f>HYPERLINK("https://yt3.ggpht.com/a/AATXAJw4TjqDPc-mKnNxcsPdX2adBqZtO3jjxtNA3A=s88-c-k-c0xffffffff-no-rj-mo")</f>
        <v>https://yt3.ggpht.com/a/AATXAJw4TjqDPc-mKnNxcsPdX2adBqZtO3jjxtNA3A=s88-c-k-c0xffffffff-no-rj-mo</v>
      </c>
      <c r="AL54" s="80">
        <v>0</v>
      </c>
      <c r="AM54" s="80">
        <v>0</v>
      </c>
      <c r="AN54" s="80">
        <v>0</v>
      </c>
      <c r="AO54" s="80" t="b">
        <v>0</v>
      </c>
      <c r="AP54" s="80">
        <v>0</v>
      </c>
      <c r="AQ54" s="80"/>
      <c r="AR54" s="80"/>
      <c r="AS54" s="80" t="s">
        <v>230</v>
      </c>
      <c r="AT54" s="82" t="str">
        <f>HYPERLINK("https://www.youtube.com/channel/UCs9Zw6uGqXK6z3gqHx5xbwA")</f>
        <v>https://www.youtube.com/channel/UCs9Zw6uGqXK6z3gqHx5xbwA</v>
      </c>
      <c r="AU54" s="79" t="str">
        <f>REPLACE(INDEX(GroupVertices[Group],MATCH(Vertices[[#This Row],[Vertex]],GroupVertices[Vertex],0)),1,1,"")</f>
        <v>2</v>
      </c>
      <c r="AV54" s="48"/>
      <c r="AW54" s="49"/>
      <c r="AX54" s="48"/>
      <c r="AY54" s="49"/>
      <c r="AZ54" s="48"/>
      <c r="BA54" s="49"/>
      <c r="BB54" s="48"/>
      <c r="BC54" s="49"/>
      <c r="BD54" s="48"/>
      <c r="BE54" s="120" t="s">
        <v>408</v>
      </c>
      <c r="BF54" s="120" t="s">
        <v>408</v>
      </c>
      <c r="BG54" s="120" t="s">
        <v>408</v>
      </c>
      <c r="BH54" s="120" t="s">
        <v>408</v>
      </c>
      <c r="BI54" s="2"/>
      <c r="BJ54" s="3"/>
      <c r="BK54" s="3"/>
      <c r="BL54" s="3"/>
      <c r="BM54" s="3"/>
    </row>
    <row r="55" spans="1:65" ht="15">
      <c r="A55" s="65" t="s">
        <v>498</v>
      </c>
      <c r="B55" s="66"/>
      <c r="C55" s="66"/>
      <c r="D55" s="67">
        <v>733.3333333333334</v>
      </c>
      <c r="E55" s="127"/>
      <c r="F55" s="98" t="str">
        <f>HYPERLINK("https://yt3.ggpht.com/a/AATXAJyeBzChEZqTiYm5IB_6XEjVGXtxztiLXMAkcQ=s88-c-k-c0xffffffff-no-rj-mo")</f>
        <v>https://yt3.ggpht.com/a/AATXAJyeBzChEZqTiYm5IB_6XEjVGXtxztiLXMAkcQ=s88-c-k-c0xffffffff-no-rj-mo</v>
      </c>
      <c r="G55" s="128"/>
      <c r="H55" s="70" t="s">
        <v>960</v>
      </c>
      <c r="I55" s="71"/>
      <c r="J55" s="129"/>
      <c r="K55" s="70" t="s">
        <v>960</v>
      </c>
      <c r="L55" s="130">
        <v>646.0322580645161</v>
      </c>
      <c r="M55" s="75">
        <v>1231.580810546875</v>
      </c>
      <c r="N55" s="75">
        <v>2277.869140625</v>
      </c>
      <c r="O55" s="76"/>
      <c r="P55" s="77"/>
      <c r="Q55" s="77"/>
      <c r="R55" s="131"/>
      <c r="S55" s="48">
        <v>2</v>
      </c>
      <c r="T55" s="48">
        <v>2</v>
      </c>
      <c r="U55" s="49">
        <v>0</v>
      </c>
      <c r="V55" s="49">
        <v>0.008475</v>
      </c>
      <c r="W55" s="49">
        <v>0.027041</v>
      </c>
      <c r="X55" s="49">
        <v>0.84715</v>
      </c>
      <c r="Y55" s="49">
        <v>0</v>
      </c>
      <c r="Z55" s="49">
        <v>1</v>
      </c>
      <c r="AA55" s="72">
        <v>55</v>
      </c>
      <c r="AB55" s="72"/>
      <c r="AC55" s="73"/>
      <c r="AD55" s="80" t="s">
        <v>960</v>
      </c>
      <c r="AE55" s="80" t="s">
        <v>1341</v>
      </c>
      <c r="AF55" s="80"/>
      <c r="AG55" s="80"/>
      <c r="AH55" s="80"/>
      <c r="AI55" s="80"/>
      <c r="AJ55" s="84">
        <v>40516.0480787037</v>
      </c>
      <c r="AK55" s="82" t="str">
        <f>HYPERLINK("https://yt3.ggpht.com/a/AATXAJyeBzChEZqTiYm5IB_6XEjVGXtxztiLXMAkcQ=s88-c-k-c0xffffffff-no-rj-mo")</f>
        <v>https://yt3.ggpht.com/a/AATXAJyeBzChEZqTiYm5IB_6XEjVGXtxztiLXMAkcQ=s88-c-k-c0xffffffff-no-rj-mo</v>
      </c>
      <c r="AL55" s="80">
        <v>0</v>
      </c>
      <c r="AM55" s="80">
        <v>0</v>
      </c>
      <c r="AN55" s="80">
        <v>1</v>
      </c>
      <c r="AO55" s="80" t="b">
        <v>0</v>
      </c>
      <c r="AP55" s="80">
        <v>0</v>
      </c>
      <c r="AQ55" s="80"/>
      <c r="AR55" s="80"/>
      <c r="AS55" s="80" t="s">
        <v>230</v>
      </c>
      <c r="AT55" s="82" t="str">
        <f>HYPERLINK("https://www.youtube.com/channel/UCtiQc0zJFxaNRxiHxcATdBw")</f>
        <v>https://www.youtube.com/channel/UCtiQc0zJFxaNRxiHxcATdBw</v>
      </c>
      <c r="AU55" s="79" t="str">
        <f>REPLACE(INDEX(GroupVertices[Group],MATCH(Vertices[[#This Row],[Vertex]],GroupVertices[Vertex],0)),1,1,"")</f>
        <v>2</v>
      </c>
      <c r="AV55" s="48">
        <v>0</v>
      </c>
      <c r="AW55" s="49">
        <v>0</v>
      </c>
      <c r="AX55" s="48">
        <v>0</v>
      </c>
      <c r="AY55" s="49">
        <v>0</v>
      </c>
      <c r="AZ55" s="48">
        <v>0</v>
      </c>
      <c r="BA55" s="49">
        <v>0</v>
      </c>
      <c r="BB55" s="48">
        <v>2</v>
      </c>
      <c r="BC55" s="49">
        <v>100</v>
      </c>
      <c r="BD55" s="48">
        <v>2</v>
      </c>
      <c r="BE55" s="120" t="s">
        <v>408</v>
      </c>
      <c r="BF55" s="120" t="s">
        <v>408</v>
      </c>
      <c r="BG55" s="120" t="s">
        <v>408</v>
      </c>
      <c r="BH55" s="120" t="s">
        <v>408</v>
      </c>
      <c r="BI55" s="2"/>
      <c r="BJ55" s="3"/>
      <c r="BK55" s="3"/>
      <c r="BL55" s="3"/>
      <c r="BM55" s="3"/>
    </row>
    <row r="56" spans="1:65" ht="15">
      <c r="A56" s="65" t="s">
        <v>499</v>
      </c>
      <c r="B56" s="66"/>
      <c r="C56" s="66"/>
      <c r="D56" s="67">
        <v>1000</v>
      </c>
      <c r="E56" s="127"/>
      <c r="F56" s="98" t="str">
        <f>HYPERLINK("https://yt3.ggpht.com/a/AATXAJxGFpNZU0GZsfTkntorABLr4wpr3pHVs7-V=s88-c-k-c0xffffffff-no-rj-mo")</f>
        <v>https://yt3.ggpht.com/a/AATXAJxGFpNZU0GZsfTkntorABLr4wpr3pHVs7-V=s88-c-k-c0xffffffff-no-rj-mo</v>
      </c>
      <c r="G56" s="128"/>
      <c r="H56" s="70" t="s">
        <v>961</v>
      </c>
      <c r="I56" s="71"/>
      <c r="J56" s="129"/>
      <c r="K56" s="70" t="s">
        <v>961</v>
      </c>
      <c r="L56" s="130">
        <v>968.5483870967741</v>
      </c>
      <c r="M56" s="75">
        <v>6495.85107421875</v>
      </c>
      <c r="N56" s="75">
        <v>2412.748291015625</v>
      </c>
      <c r="O56" s="76"/>
      <c r="P56" s="77"/>
      <c r="Q56" s="77"/>
      <c r="R56" s="131"/>
      <c r="S56" s="48">
        <v>3</v>
      </c>
      <c r="T56" s="48">
        <v>2</v>
      </c>
      <c r="U56" s="49">
        <v>10</v>
      </c>
      <c r="V56" s="49">
        <v>0.2</v>
      </c>
      <c r="W56" s="49">
        <v>0</v>
      </c>
      <c r="X56" s="49">
        <v>1.787783</v>
      </c>
      <c r="Y56" s="49">
        <v>0</v>
      </c>
      <c r="Z56" s="49">
        <v>0.6666666666666666</v>
      </c>
      <c r="AA56" s="72">
        <v>56</v>
      </c>
      <c r="AB56" s="72"/>
      <c r="AC56" s="73"/>
      <c r="AD56" s="80" t="s">
        <v>961</v>
      </c>
      <c r="AE56" s="80" t="s">
        <v>1342</v>
      </c>
      <c r="AF56" s="80"/>
      <c r="AG56" s="80"/>
      <c r="AH56" s="80"/>
      <c r="AI56" s="80" t="s">
        <v>1408</v>
      </c>
      <c r="AJ56" s="84">
        <v>42511.149664351855</v>
      </c>
      <c r="AK56" s="82" t="str">
        <f>HYPERLINK("https://yt3.ggpht.com/a/AATXAJxGFpNZU0GZsfTkntorABLr4wpr3pHVs7-V=s88-c-k-c0xffffffff-no-rj-mo")</f>
        <v>https://yt3.ggpht.com/a/AATXAJxGFpNZU0GZsfTkntorABLr4wpr3pHVs7-V=s88-c-k-c0xffffffff-no-rj-mo</v>
      </c>
      <c r="AL56" s="80">
        <v>4350817</v>
      </c>
      <c r="AM56" s="80">
        <v>0</v>
      </c>
      <c r="AN56" s="80">
        <v>34400</v>
      </c>
      <c r="AO56" s="80" t="b">
        <v>0</v>
      </c>
      <c r="AP56" s="80">
        <v>428</v>
      </c>
      <c r="AQ56" s="80"/>
      <c r="AR56" s="80"/>
      <c r="AS56" s="80" t="s">
        <v>230</v>
      </c>
      <c r="AT56" s="82" t="str">
        <f>HYPERLINK("https://www.youtube.com/channel/UCy2rBgj4M1tzK-urTZ28zcA")</f>
        <v>https://www.youtube.com/channel/UCy2rBgj4M1tzK-urTZ28zcA</v>
      </c>
      <c r="AU56" s="79" t="str">
        <f>REPLACE(INDEX(GroupVertices[Group],MATCH(Vertices[[#This Row],[Vertex]],GroupVertices[Vertex],0)),1,1,"")</f>
        <v>13</v>
      </c>
      <c r="AV56" s="48">
        <v>4</v>
      </c>
      <c r="AW56" s="49">
        <v>3.6363636363636362</v>
      </c>
      <c r="AX56" s="48">
        <v>2</v>
      </c>
      <c r="AY56" s="49">
        <v>1.8181818181818181</v>
      </c>
      <c r="AZ56" s="48">
        <v>0</v>
      </c>
      <c r="BA56" s="49">
        <v>0</v>
      </c>
      <c r="BB56" s="48">
        <v>104</v>
      </c>
      <c r="BC56" s="49">
        <v>94.54545454545455</v>
      </c>
      <c r="BD56" s="48">
        <v>110</v>
      </c>
      <c r="BE56" s="120" t="s">
        <v>408</v>
      </c>
      <c r="BF56" s="120" t="s">
        <v>408</v>
      </c>
      <c r="BG56" s="120" t="s">
        <v>408</v>
      </c>
      <c r="BH56" s="120" t="s">
        <v>408</v>
      </c>
      <c r="BI56" s="2"/>
      <c r="BJ56" s="3"/>
      <c r="BK56" s="3"/>
      <c r="BL56" s="3"/>
      <c r="BM56" s="3"/>
    </row>
    <row r="57" spans="1:65" ht="15">
      <c r="A57" s="65" t="s">
        <v>500</v>
      </c>
      <c r="B57" s="66"/>
      <c r="C57" s="66"/>
      <c r="D57" s="67">
        <v>466.6666666666667</v>
      </c>
      <c r="E57" s="127"/>
      <c r="F57" s="98" t="str">
        <f>HYPERLINK("https://yt3.ggpht.com/a/AATXAJxt91_WgBoWg_Ki83-hDrrOUpU0vOldku0AFQ=s88-c-k-c0xffffffff-no-rj-mo")</f>
        <v>https://yt3.ggpht.com/a/AATXAJxt91_WgBoWg_Ki83-hDrrOUpU0vOldku0AFQ=s88-c-k-c0xffffffff-no-rj-mo</v>
      </c>
      <c r="G57" s="128"/>
      <c r="H57" s="70" t="s">
        <v>962</v>
      </c>
      <c r="I57" s="71"/>
      <c r="J57" s="129"/>
      <c r="K57" s="70" t="s">
        <v>962</v>
      </c>
      <c r="L57" s="130">
        <v>323.51612903225805</v>
      </c>
      <c r="M57" s="75">
        <v>6727.13427734375</v>
      </c>
      <c r="N57" s="75">
        <v>3264.136474609375</v>
      </c>
      <c r="O57" s="76"/>
      <c r="P57" s="77"/>
      <c r="Q57" s="77"/>
      <c r="R57" s="131"/>
      <c r="S57" s="48">
        <v>1</v>
      </c>
      <c r="T57" s="48">
        <v>1</v>
      </c>
      <c r="U57" s="49">
        <v>0</v>
      </c>
      <c r="V57" s="49">
        <v>0.125</v>
      </c>
      <c r="W57" s="49">
        <v>0</v>
      </c>
      <c r="X57" s="49">
        <v>0.656538</v>
      </c>
      <c r="Y57" s="49">
        <v>0</v>
      </c>
      <c r="Z57" s="49">
        <v>1</v>
      </c>
      <c r="AA57" s="72">
        <v>57</v>
      </c>
      <c r="AB57" s="72"/>
      <c r="AC57" s="73"/>
      <c r="AD57" s="80" t="s">
        <v>962</v>
      </c>
      <c r="AE57" s="80"/>
      <c r="AF57" s="80"/>
      <c r="AG57" s="80"/>
      <c r="AH57" s="80"/>
      <c r="AI57" s="80"/>
      <c r="AJ57" s="84">
        <v>42507.59104166667</v>
      </c>
      <c r="AK57" s="82" t="str">
        <f>HYPERLINK("https://yt3.ggpht.com/a/AATXAJxt91_WgBoWg_Ki83-hDrrOUpU0vOldku0AFQ=s88-c-k-c0xffffffff-no-rj-mo")</f>
        <v>https://yt3.ggpht.com/a/AATXAJxt91_WgBoWg_Ki83-hDrrOUpU0vOldku0AFQ=s88-c-k-c0xffffffff-no-rj-mo</v>
      </c>
      <c r="AL57" s="80">
        <v>0</v>
      </c>
      <c r="AM57" s="80">
        <v>0</v>
      </c>
      <c r="AN57" s="80">
        <v>0</v>
      </c>
      <c r="AO57" s="80" t="b">
        <v>0</v>
      </c>
      <c r="AP57" s="80">
        <v>0</v>
      </c>
      <c r="AQ57" s="80"/>
      <c r="AR57" s="80"/>
      <c r="AS57" s="80" t="s">
        <v>230</v>
      </c>
      <c r="AT57" s="82" t="str">
        <f>HYPERLINK("https://www.youtube.com/channel/UCAVJ-HHJHIz38ZUpqPX3B9w")</f>
        <v>https://www.youtube.com/channel/UCAVJ-HHJHIz38ZUpqPX3B9w</v>
      </c>
      <c r="AU57" s="79" t="str">
        <f>REPLACE(INDEX(GroupVertices[Group],MATCH(Vertices[[#This Row],[Vertex]],GroupVertices[Vertex],0)),1,1,"")</f>
        <v>13</v>
      </c>
      <c r="AV57" s="48"/>
      <c r="AW57" s="49"/>
      <c r="AX57" s="48"/>
      <c r="AY57" s="49"/>
      <c r="AZ57" s="48"/>
      <c r="BA57" s="49"/>
      <c r="BB57" s="48"/>
      <c r="BC57" s="49"/>
      <c r="BD57" s="48"/>
      <c r="BE57" s="120" t="s">
        <v>408</v>
      </c>
      <c r="BF57" s="120" t="s">
        <v>408</v>
      </c>
      <c r="BG57" s="120" t="s">
        <v>408</v>
      </c>
      <c r="BH57" s="120" t="s">
        <v>408</v>
      </c>
      <c r="BI57" s="2"/>
      <c r="BJ57" s="3"/>
      <c r="BK57" s="3"/>
      <c r="BL57" s="3"/>
      <c r="BM57" s="3"/>
    </row>
    <row r="58" spans="1:65" ht="15">
      <c r="A58" s="65" t="s">
        <v>501</v>
      </c>
      <c r="B58" s="66"/>
      <c r="C58" s="66"/>
      <c r="D58" s="67">
        <v>466.6666666666667</v>
      </c>
      <c r="E58" s="127"/>
      <c r="F58" s="98" t="str">
        <f>HYPERLINK("https://yt3.ggpht.com/a/AATXAJx9nKk1zPDoZL6R85l9_O9kdSoyp1WgYmUbZQ=s88-c-k-c0xffffffff-no-rj-mo")</f>
        <v>https://yt3.ggpht.com/a/AATXAJx9nKk1zPDoZL6R85l9_O9kdSoyp1WgYmUbZQ=s88-c-k-c0xffffffff-no-rj-mo</v>
      </c>
      <c r="G58" s="128"/>
      <c r="H58" s="70" t="s">
        <v>963</v>
      </c>
      <c r="I58" s="71"/>
      <c r="J58" s="129"/>
      <c r="K58" s="70" t="s">
        <v>963</v>
      </c>
      <c r="L58" s="130">
        <v>323.51612903225805</v>
      </c>
      <c r="M58" s="75">
        <v>6794.533203125</v>
      </c>
      <c r="N58" s="75">
        <v>1652.727294921875</v>
      </c>
      <c r="O58" s="76"/>
      <c r="P58" s="77"/>
      <c r="Q58" s="77"/>
      <c r="R58" s="131"/>
      <c r="S58" s="48">
        <v>1</v>
      </c>
      <c r="T58" s="48">
        <v>1</v>
      </c>
      <c r="U58" s="49">
        <v>0</v>
      </c>
      <c r="V58" s="49">
        <v>0.125</v>
      </c>
      <c r="W58" s="49">
        <v>0</v>
      </c>
      <c r="X58" s="49">
        <v>0.656538</v>
      </c>
      <c r="Y58" s="49">
        <v>0</v>
      </c>
      <c r="Z58" s="49">
        <v>1</v>
      </c>
      <c r="AA58" s="72">
        <v>58</v>
      </c>
      <c r="AB58" s="72"/>
      <c r="AC58" s="73"/>
      <c r="AD58" s="80" t="s">
        <v>963</v>
      </c>
      <c r="AE58" s="80"/>
      <c r="AF58" s="80"/>
      <c r="AG58" s="80"/>
      <c r="AH58" s="80"/>
      <c r="AI58" s="80"/>
      <c r="AJ58" s="84">
        <v>41177.784849537034</v>
      </c>
      <c r="AK58" s="82" t="str">
        <f>HYPERLINK("https://yt3.ggpht.com/a/AATXAJx9nKk1zPDoZL6R85l9_O9kdSoyp1WgYmUbZQ=s88-c-k-c0xffffffff-no-rj-mo")</f>
        <v>https://yt3.ggpht.com/a/AATXAJx9nKk1zPDoZL6R85l9_O9kdSoyp1WgYmUbZQ=s88-c-k-c0xffffffff-no-rj-mo</v>
      </c>
      <c r="AL58" s="80">
        <v>0</v>
      </c>
      <c r="AM58" s="80">
        <v>0</v>
      </c>
      <c r="AN58" s="80">
        <v>0</v>
      </c>
      <c r="AO58" s="80" t="b">
        <v>0</v>
      </c>
      <c r="AP58" s="80">
        <v>0</v>
      </c>
      <c r="AQ58" s="80"/>
      <c r="AR58" s="80"/>
      <c r="AS58" s="80" t="s">
        <v>230</v>
      </c>
      <c r="AT58" s="82" t="str">
        <f>HYPERLINK("https://www.youtube.com/channel/UCdZXQlNEEb80jKMVCgQufXQ")</f>
        <v>https://www.youtube.com/channel/UCdZXQlNEEb80jKMVCgQufXQ</v>
      </c>
      <c r="AU58" s="79" t="str">
        <f>REPLACE(INDEX(GroupVertices[Group],MATCH(Vertices[[#This Row],[Vertex]],GroupVertices[Vertex],0)),1,1,"")</f>
        <v>13</v>
      </c>
      <c r="AV58" s="48"/>
      <c r="AW58" s="49"/>
      <c r="AX58" s="48"/>
      <c r="AY58" s="49"/>
      <c r="AZ58" s="48"/>
      <c r="BA58" s="49"/>
      <c r="BB58" s="48"/>
      <c r="BC58" s="49"/>
      <c r="BD58" s="48"/>
      <c r="BE58" s="120" t="s">
        <v>408</v>
      </c>
      <c r="BF58" s="120" t="s">
        <v>408</v>
      </c>
      <c r="BG58" s="120" t="s">
        <v>408</v>
      </c>
      <c r="BH58" s="120" t="s">
        <v>408</v>
      </c>
      <c r="BI58" s="2"/>
      <c r="BJ58" s="3"/>
      <c r="BK58" s="3"/>
      <c r="BL58" s="3"/>
      <c r="BM58" s="3"/>
    </row>
    <row r="59" spans="1:65" ht="15">
      <c r="A59" s="65" t="s">
        <v>502</v>
      </c>
      <c r="B59" s="66"/>
      <c r="C59" s="66"/>
      <c r="D59" s="67">
        <v>466.6666666666667</v>
      </c>
      <c r="E59" s="127"/>
      <c r="F59" s="98" t="str">
        <f>HYPERLINK("https://yt3.ggpht.com/a/AATXAJxVADyiHNzExStWvlAOZEHTm64FEEIONOunRA=s88-c-k-c0xffffffff-no-rj-mo")</f>
        <v>https://yt3.ggpht.com/a/AATXAJxVADyiHNzExStWvlAOZEHTm64FEEIONOunRA=s88-c-k-c0xffffffff-no-rj-mo</v>
      </c>
      <c r="G59" s="128"/>
      <c r="H59" s="70" t="s">
        <v>964</v>
      </c>
      <c r="I59" s="71"/>
      <c r="J59" s="129"/>
      <c r="K59" s="70" t="s">
        <v>964</v>
      </c>
      <c r="L59" s="130">
        <v>323.51612903225805</v>
      </c>
      <c r="M59" s="75">
        <v>9507.0283203125</v>
      </c>
      <c r="N59" s="75">
        <v>2003.9317626953125</v>
      </c>
      <c r="O59" s="76"/>
      <c r="P59" s="77"/>
      <c r="Q59" s="77"/>
      <c r="R59" s="131"/>
      <c r="S59" s="48">
        <v>1</v>
      </c>
      <c r="T59" s="48">
        <v>1</v>
      </c>
      <c r="U59" s="49">
        <v>0</v>
      </c>
      <c r="V59" s="49">
        <v>1</v>
      </c>
      <c r="W59" s="49">
        <v>0</v>
      </c>
      <c r="X59" s="49">
        <v>0.999997</v>
      </c>
      <c r="Y59" s="49">
        <v>0</v>
      </c>
      <c r="Z59" s="49">
        <v>1</v>
      </c>
      <c r="AA59" s="72">
        <v>59</v>
      </c>
      <c r="AB59" s="72"/>
      <c r="AC59" s="73"/>
      <c r="AD59" s="80" t="s">
        <v>964</v>
      </c>
      <c r="AE59" s="80" t="s">
        <v>1343</v>
      </c>
      <c r="AF59" s="80"/>
      <c r="AG59" s="80"/>
      <c r="AH59" s="80"/>
      <c r="AI59" s="80" t="s">
        <v>1409</v>
      </c>
      <c r="AJ59" s="84">
        <v>43897.559212962966</v>
      </c>
      <c r="AK59" s="82" t="str">
        <f>HYPERLINK("https://yt3.ggpht.com/a/AATXAJxVADyiHNzExStWvlAOZEHTm64FEEIONOunRA=s88-c-k-c0xffffffff-no-rj-mo")</f>
        <v>https://yt3.ggpht.com/a/AATXAJxVADyiHNzExStWvlAOZEHTm64FEEIONOunRA=s88-c-k-c0xffffffff-no-rj-mo</v>
      </c>
      <c r="AL59" s="80">
        <v>6627</v>
      </c>
      <c r="AM59" s="80">
        <v>0</v>
      </c>
      <c r="AN59" s="80">
        <v>458</v>
      </c>
      <c r="AO59" s="80" t="b">
        <v>0</v>
      </c>
      <c r="AP59" s="80">
        <v>59</v>
      </c>
      <c r="AQ59" s="80"/>
      <c r="AR59" s="80"/>
      <c r="AS59" s="80" t="s">
        <v>230</v>
      </c>
      <c r="AT59" s="82" t="str">
        <f>HYPERLINK("https://www.youtube.com/channel/UCLMzXVHnHNXjwWqNDLPW6cg")</f>
        <v>https://www.youtube.com/channel/UCLMzXVHnHNXjwWqNDLPW6cg</v>
      </c>
      <c r="AU59" s="79" t="str">
        <f>REPLACE(INDEX(GroupVertices[Group],MATCH(Vertices[[#This Row],[Vertex]],GroupVertices[Vertex],0)),1,1,"")</f>
        <v>25</v>
      </c>
      <c r="AV59" s="48">
        <v>1</v>
      </c>
      <c r="AW59" s="49">
        <v>3.7037037037037037</v>
      </c>
      <c r="AX59" s="48">
        <v>0</v>
      </c>
      <c r="AY59" s="49">
        <v>0</v>
      </c>
      <c r="AZ59" s="48">
        <v>0</v>
      </c>
      <c r="BA59" s="49">
        <v>0</v>
      </c>
      <c r="BB59" s="48">
        <v>26</v>
      </c>
      <c r="BC59" s="49">
        <v>96.29629629629629</v>
      </c>
      <c r="BD59" s="48">
        <v>27</v>
      </c>
      <c r="BE59" s="120" t="s">
        <v>408</v>
      </c>
      <c r="BF59" s="120" t="s">
        <v>408</v>
      </c>
      <c r="BG59" s="120" t="s">
        <v>408</v>
      </c>
      <c r="BH59" s="120" t="s">
        <v>408</v>
      </c>
      <c r="BI59" s="2"/>
      <c r="BJ59" s="3"/>
      <c r="BK59" s="3"/>
      <c r="BL59" s="3"/>
      <c r="BM59" s="3"/>
    </row>
    <row r="60" spans="1:65" ht="15">
      <c r="A60" s="65" t="s">
        <v>503</v>
      </c>
      <c r="B60" s="66"/>
      <c r="C60" s="66"/>
      <c r="D60" s="67">
        <v>466.6666666666667</v>
      </c>
      <c r="E60" s="127"/>
      <c r="F60" s="98" t="str">
        <f>HYPERLINK("https://yt3.ggpht.com/a/AATXAJyDKRczAr9WdjQbYk_KjY2xToER_gf77-z54g=s88-c-k-c0xffffffff-no-rj-mo")</f>
        <v>https://yt3.ggpht.com/a/AATXAJyDKRczAr9WdjQbYk_KjY2xToER_gf77-z54g=s88-c-k-c0xffffffff-no-rj-mo</v>
      </c>
      <c r="G60" s="128"/>
      <c r="H60" s="70" t="s">
        <v>965</v>
      </c>
      <c r="I60" s="71"/>
      <c r="J60" s="129"/>
      <c r="K60" s="70" t="s">
        <v>965</v>
      </c>
      <c r="L60" s="130">
        <v>323.51612903225805</v>
      </c>
      <c r="M60" s="75">
        <v>9507.0283203125</v>
      </c>
      <c r="N60" s="75">
        <v>1549.4317626953125</v>
      </c>
      <c r="O60" s="76"/>
      <c r="P60" s="77"/>
      <c r="Q60" s="77"/>
      <c r="R60" s="131"/>
      <c r="S60" s="48">
        <v>1</v>
      </c>
      <c r="T60" s="48">
        <v>1</v>
      </c>
      <c r="U60" s="49">
        <v>0</v>
      </c>
      <c r="V60" s="49">
        <v>1</v>
      </c>
      <c r="W60" s="49">
        <v>0</v>
      </c>
      <c r="X60" s="49">
        <v>0.999997</v>
      </c>
      <c r="Y60" s="49">
        <v>0</v>
      </c>
      <c r="Z60" s="49">
        <v>1</v>
      </c>
      <c r="AA60" s="72">
        <v>60</v>
      </c>
      <c r="AB60" s="72"/>
      <c r="AC60" s="73"/>
      <c r="AD60" s="80" t="s">
        <v>965</v>
      </c>
      <c r="AE60" s="80"/>
      <c r="AF60" s="80"/>
      <c r="AG60" s="80"/>
      <c r="AH60" s="80"/>
      <c r="AI60" s="80"/>
      <c r="AJ60" s="84">
        <v>43828.659270833334</v>
      </c>
      <c r="AK60" s="82" t="str">
        <f>HYPERLINK("https://yt3.ggpht.com/a/AATXAJyDKRczAr9WdjQbYk_KjY2xToER_gf77-z54g=s88-c-k-c0xffffffff-no-rj-mo")</f>
        <v>https://yt3.ggpht.com/a/AATXAJyDKRczAr9WdjQbYk_KjY2xToER_gf77-z54g=s88-c-k-c0xffffffff-no-rj-mo</v>
      </c>
      <c r="AL60" s="80">
        <v>0</v>
      </c>
      <c r="AM60" s="80">
        <v>0</v>
      </c>
      <c r="AN60" s="80">
        <v>0</v>
      </c>
      <c r="AO60" s="80" t="b">
        <v>0</v>
      </c>
      <c r="AP60" s="80">
        <v>0</v>
      </c>
      <c r="AQ60" s="80"/>
      <c r="AR60" s="80"/>
      <c r="AS60" s="80" t="s">
        <v>230</v>
      </c>
      <c r="AT60" s="82" t="str">
        <f>HYPERLINK("https://www.youtube.com/channel/UCAowWiRWK0qWlIRpK9WzQNA")</f>
        <v>https://www.youtube.com/channel/UCAowWiRWK0qWlIRpK9WzQNA</v>
      </c>
      <c r="AU60" s="79" t="str">
        <f>REPLACE(INDEX(GroupVertices[Group],MATCH(Vertices[[#This Row],[Vertex]],GroupVertices[Vertex],0)),1,1,"")</f>
        <v>25</v>
      </c>
      <c r="AV60" s="48"/>
      <c r="AW60" s="49"/>
      <c r="AX60" s="48"/>
      <c r="AY60" s="49"/>
      <c r="AZ60" s="48"/>
      <c r="BA60" s="49"/>
      <c r="BB60" s="48"/>
      <c r="BC60" s="49"/>
      <c r="BD60" s="48"/>
      <c r="BE60" s="120" t="s">
        <v>408</v>
      </c>
      <c r="BF60" s="120" t="s">
        <v>408</v>
      </c>
      <c r="BG60" s="120" t="s">
        <v>408</v>
      </c>
      <c r="BH60" s="120" t="s">
        <v>408</v>
      </c>
      <c r="BI60" s="2"/>
      <c r="BJ60" s="3"/>
      <c r="BK60" s="3"/>
      <c r="BL60" s="3"/>
      <c r="BM60" s="3"/>
    </row>
    <row r="61" spans="1:65" ht="15">
      <c r="A61" s="65" t="s">
        <v>504</v>
      </c>
      <c r="B61" s="66"/>
      <c r="C61" s="66"/>
      <c r="D61" s="67">
        <v>1000</v>
      </c>
      <c r="E61" s="127"/>
      <c r="F61" s="98" t="str">
        <f>HYPERLINK("https://yt3.ggpht.com/a/AATXAJwCGITvEHgmkuELw_mhDXxhhQDSGIYZEMB7kQ=s88-c-k-c0xffffffff-no-rj-mo")</f>
        <v>https://yt3.ggpht.com/a/AATXAJwCGITvEHgmkuELw_mhDXxhhQDSGIYZEMB7kQ=s88-c-k-c0xffffffff-no-rj-mo</v>
      </c>
      <c r="G61" s="128"/>
      <c r="H61" s="70" t="s">
        <v>966</v>
      </c>
      <c r="I61" s="71"/>
      <c r="J61" s="129"/>
      <c r="K61" s="70" t="s">
        <v>966</v>
      </c>
      <c r="L61" s="130">
        <v>1613.5806451612902</v>
      </c>
      <c r="M61" s="75">
        <v>8018.23388671875</v>
      </c>
      <c r="N61" s="75">
        <v>8423.5087890625</v>
      </c>
      <c r="O61" s="76"/>
      <c r="P61" s="77"/>
      <c r="Q61" s="77"/>
      <c r="R61" s="131"/>
      <c r="S61" s="48">
        <v>5</v>
      </c>
      <c r="T61" s="48">
        <v>5</v>
      </c>
      <c r="U61" s="49">
        <v>28</v>
      </c>
      <c r="V61" s="49">
        <v>0.142857</v>
      </c>
      <c r="W61" s="49">
        <v>0</v>
      </c>
      <c r="X61" s="49">
        <v>2.572632</v>
      </c>
      <c r="Y61" s="49">
        <v>0</v>
      </c>
      <c r="Z61" s="49">
        <v>1</v>
      </c>
      <c r="AA61" s="72">
        <v>61</v>
      </c>
      <c r="AB61" s="72"/>
      <c r="AC61" s="73"/>
      <c r="AD61" s="80" t="s">
        <v>966</v>
      </c>
      <c r="AE61" s="80" t="s">
        <v>1344</v>
      </c>
      <c r="AF61" s="80"/>
      <c r="AG61" s="80"/>
      <c r="AH61" s="80"/>
      <c r="AI61" s="80" t="s">
        <v>1410</v>
      </c>
      <c r="AJ61" s="84">
        <v>42535.95951388889</v>
      </c>
      <c r="AK61" s="82" t="str">
        <f>HYPERLINK("https://yt3.ggpht.com/a/AATXAJwCGITvEHgmkuELw_mhDXxhhQDSGIYZEMB7kQ=s88-c-k-c0xffffffff-no-rj-mo")</f>
        <v>https://yt3.ggpht.com/a/AATXAJwCGITvEHgmkuELw_mhDXxhhQDSGIYZEMB7kQ=s88-c-k-c0xffffffff-no-rj-mo</v>
      </c>
      <c r="AL61" s="80">
        <v>419392</v>
      </c>
      <c r="AM61" s="80">
        <v>0</v>
      </c>
      <c r="AN61" s="80">
        <v>22000</v>
      </c>
      <c r="AO61" s="80" t="b">
        <v>0</v>
      </c>
      <c r="AP61" s="80">
        <v>95</v>
      </c>
      <c r="AQ61" s="80"/>
      <c r="AR61" s="80"/>
      <c r="AS61" s="80" t="s">
        <v>230</v>
      </c>
      <c r="AT61" s="82" t="str">
        <f>HYPERLINK("https://www.youtube.com/channel/UCOcjS2ppQSqIsbMgWGCfLew")</f>
        <v>https://www.youtube.com/channel/UCOcjS2ppQSqIsbMgWGCfLew</v>
      </c>
      <c r="AU61" s="79" t="str">
        <f>REPLACE(INDEX(GroupVertices[Group],MATCH(Vertices[[#This Row],[Vertex]],GroupVertices[Vertex],0)),1,1,"")</f>
        <v>7</v>
      </c>
      <c r="AV61" s="48">
        <v>3</v>
      </c>
      <c r="AW61" s="49">
        <v>2.380952380952381</v>
      </c>
      <c r="AX61" s="48">
        <v>0</v>
      </c>
      <c r="AY61" s="49">
        <v>0</v>
      </c>
      <c r="AZ61" s="48">
        <v>0</v>
      </c>
      <c r="BA61" s="49">
        <v>0</v>
      </c>
      <c r="BB61" s="48">
        <v>123</v>
      </c>
      <c r="BC61" s="49">
        <v>97.61904761904762</v>
      </c>
      <c r="BD61" s="48">
        <v>126</v>
      </c>
      <c r="BE61" s="120" t="s">
        <v>408</v>
      </c>
      <c r="BF61" s="120" t="s">
        <v>408</v>
      </c>
      <c r="BG61" s="120" t="s">
        <v>408</v>
      </c>
      <c r="BH61" s="120" t="s">
        <v>408</v>
      </c>
      <c r="BI61" s="2"/>
      <c r="BJ61" s="3"/>
      <c r="BK61" s="3"/>
      <c r="BL61" s="3"/>
      <c r="BM61" s="3"/>
    </row>
    <row r="62" spans="1:65" ht="15">
      <c r="A62" s="65" t="s">
        <v>505</v>
      </c>
      <c r="B62" s="66"/>
      <c r="C62" s="66"/>
      <c r="D62" s="67">
        <v>466.6666666666667</v>
      </c>
      <c r="E62" s="127"/>
      <c r="F62" s="98" t="str">
        <f>HYPERLINK("https://yt3.ggpht.com/a/AATXAJxId2IMTl7gm-AJnKhR4oIoTWw_cphaWp8LFg=s88-c-k-c0xffffffff-no-rj-mo")</f>
        <v>https://yt3.ggpht.com/a/AATXAJxId2IMTl7gm-AJnKhR4oIoTWw_cphaWp8LFg=s88-c-k-c0xffffffff-no-rj-mo</v>
      </c>
      <c r="G62" s="128"/>
      <c r="H62" s="70" t="s">
        <v>967</v>
      </c>
      <c r="I62" s="71"/>
      <c r="J62" s="129"/>
      <c r="K62" s="70" t="s">
        <v>967</v>
      </c>
      <c r="L62" s="130">
        <v>323.51612903225805</v>
      </c>
      <c r="M62" s="75">
        <v>7406.17431640625</v>
      </c>
      <c r="N62" s="75">
        <v>8032.23291015625</v>
      </c>
      <c r="O62" s="76"/>
      <c r="P62" s="77"/>
      <c r="Q62" s="77"/>
      <c r="R62" s="131"/>
      <c r="S62" s="48">
        <v>1</v>
      </c>
      <c r="T62" s="48">
        <v>1</v>
      </c>
      <c r="U62" s="49">
        <v>0</v>
      </c>
      <c r="V62" s="49">
        <v>0.083333</v>
      </c>
      <c r="W62" s="49">
        <v>0</v>
      </c>
      <c r="X62" s="49">
        <v>0.587347</v>
      </c>
      <c r="Y62" s="49">
        <v>0</v>
      </c>
      <c r="Z62" s="49">
        <v>1</v>
      </c>
      <c r="AA62" s="72">
        <v>62</v>
      </c>
      <c r="AB62" s="72"/>
      <c r="AC62" s="73"/>
      <c r="AD62" s="80" t="s">
        <v>967</v>
      </c>
      <c r="AE62" s="80"/>
      <c r="AF62" s="80"/>
      <c r="AG62" s="80"/>
      <c r="AH62" s="80"/>
      <c r="AI62" s="80"/>
      <c r="AJ62" s="84">
        <v>40829.1371875</v>
      </c>
      <c r="AK62" s="82" t="str">
        <f>HYPERLINK("https://yt3.ggpht.com/a/AATXAJxId2IMTl7gm-AJnKhR4oIoTWw_cphaWp8LFg=s88-c-k-c0xffffffff-no-rj-mo")</f>
        <v>https://yt3.ggpht.com/a/AATXAJxId2IMTl7gm-AJnKhR4oIoTWw_cphaWp8LFg=s88-c-k-c0xffffffff-no-rj-mo</v>
      </c>
      <c r="AL62" s="80">
        <v>0</v>
      </c>
      <c r="AM62" s="80">
        <v>0</v>
      </c>
      <c r="AN62" s="80">
        <v>1</v>
      </c>
      <c r="AO62" s="80" t="b">
        <v>0</v>
      </c>
      <c r="AP62" s="80">
        <v>0</v>
      </c>
      <c r="AQ62" s="80"/>
      <c r="AR62" s="80"/>
      <c r="AS62" s="80" t="s">
        <v>230</v>
      </c>
      <c r="AT62" s="82" t="str">
        <f>HYPERLINK("https://www.youtube.com/channel/UC5soOn0QU0yvs6Pe7K0tefQ")</f>
        <v>https://www.youtube.com/channel/UC5soOn0QU0yvs6Pe7K0tefQ</v>
      </c>
      <c r="AU62" s="79" t="str">
        <f>REPLACE(INDEX(GroupVertices[Group],MATCH(Vertices[[#This Row],[Vertex]],GroupVertices[Vertex],0)),1,1,"")</f>
        <v>7</v>
      </c>
      <c r="AV62" s="48"/>
      <c r="AW62" s="49"/>
      <c r="AX62" s="48"/>
      <c r="AY62" s="49"/>
      <c r="AZ62" s="48"/>
      <c r="BA62" s="49"/>
      <c r="BB62" s="48"/>
      <c r="BC62" s="49"/>
      <c r="BD62" s="48"/>
      <c r="BE62" s="120" t="s">
        <v>408</v>
      </c>
      <c r="BF62" s="120" t="s">
        <v>408</v>
      </c>
      <c r="BG62" s="120" t="s">
        <v>408</v>
      </c>
      <c r="BH62" s="120" t="s">
        <v>408</v>
      </c>
      <c r="BI62" s="2"/>
      <c r="BJ62" s="3"/>
      <c r="BK62" s="3"/>
      <c r="BL62" s="3"/>
      <c r="BM62" s="3"/>
    </row>
    <row r="63" spans="1:65" ht="15">
      <c r="A63" s="65" t="s">
        <v>506</v>
      </c>
      <c r="B63" s="66"/>
      <c r="C63" s="66"/>
      <c r="D63" s="67">
        <v>466.6666666666667</v>
      </c>
      <c r="E63" s="127"/>
      <c r="F63" s="98" t="str">
        <f>HYPERLINK("https://yt3.ggpht.com/a/AATXAJxWBg8kHUCDMFu-_gtadM3V208mXECIM6ULQw=s88-c-k-c0xffffffff-no-rj-mo")</f>
        <v>https://yt3.ggpht.com/a/AATXAJxWBg8kHUCDMFu-_gtadM3V208mXECIM6ULQw=s88-c-k-c0xffffffff-no-rj-mo</v>
      </c>
      <c r="G63" s="128"/>
      <c r="H63" s="70" t="s">
        <v>968</v>
      </c>
      <c r="I63" s="71"/>
      <c r="J63" s="129"/>
      <c r="K63" s="70" t="s">
        <v>968</v>
      </c>
      <c r="L63" s="130">
        <v>323.51612903225805</v>
      </c>
      <c r="M63" s="75">
        <v>7422.9541015625</v>
      </c>
      <c r="N63" s="75">
        <v>8887.7919921875</v>
      </c>
      <c r="O63" s="76"/>
      <c r="P63" s="77"/>
      <c r="Q63" s="77"/>
      <c r="R63" s="131"/>
      <c r="S63" s="48">
        <v>1</v>
      </c>
      <c r="T63" s="48">
        <v>1</v>
      </c>
      <c r="U63" s="49">
        <v>0</v>
      </c>
      <c r="V63" s="49">
        <v>0.083333</v>
      </c>
      <c r="W63" s="49">
        <v>0</v>
      </c>
      <c r="X63" s="49">
        <v>0.587347</v>
      </c>
      <c r="Y63" s="49">
        <v>0</v>
      </c>
      <c r="Z63" s="49">
        <v>1</v>
      </c>
      <c r="AA63" s="72">
        <v>63</v>
      </c>
      <c r="AB63" s="72"/>
      <c r="AC63" s="73"/>
      <c r="AD63" s="80" t="s">
        <v>968</v>
      </c>
      <c r="AE63" s="80"/>
      <c r="AF63" s="80"/>
      <c r="AG63" s="80"/>
      <c r="AH63" s="80"/>
      <c r="AI63" s="80"/>
      <c r="AJ63" s="84">
        <v>43190.74717592593</v>
      </c>
      <c r="AK63" s="82" t="str">
        <f>HYPERLINK("https://yt3.ggpht.com/a/AATXAJxWBg8kHUCDMFu-_gtadM3V208mXECIM6ULQw=s88-c-k-c0xffffffff-no-rj-mo")</f>
        <v>https://yt3.ggpht.com/a/AATXAJxWBg8kHUCDMFu-_gtadM3V208mXECIM6ULQw=s88-c-k-c0xffffffff-no-rj-mo</v>
      </c>
      <c r="AL63" s="80">
        <v>0</v>
      </c>
      <c r="AM63" s="80">
        <v>0</v>
      </c>
      <c r="AN63" s="80">
        <v>0</v>
      </c>
      <c r="AO63" s="80" t="b">
        <v>0</v>
      </c>
      <c r="AP63" s="80">
        <v>0</v>
      </c>
      <c r="AQ63" s="80"/>
      <c r="AR63" s="80"/>
      <c r="AS63" s="80" t="s">
        <v>230</v>
      </c>
      <c r="AT63" s="82" t="str">
        <f>HYPERLINK("https://www.youtube.com/channel/UCdfD0z5ZWKOX_UQ2VusGI1g")</f>
        <v>https://www.youtube.com/channel/UCdfD0z5ZWKOX_UQ2VusGI1g</v>
      </c>
      <c r="AU63" s="79" t="str">
        <f>REPLACE(INDEX(GroupVertices[Group],MATCH(Vertices[[#This Row],[Vertex]],GroupVertices[Vertex],0)),1,1,"")</f>
        <v>7</v>
      </c>
      <c r="AV63" s="48"/>
      <c r="AW63" s="49"/>
      <c r="AX63" s="48"/>
      <c r="AY63" s="49"/>
      <c r="AZ63" s="48"/>
      <c r="BA63" s="49"/>
      <c r="BB63" s="48"/>
      <c r="BC63" s="49"/>
      <c r="BD63" s="48"/>
      <c r="BE63" s="120" t="s">
        <v>408</v>
      </c>
      <c r="BF63" s="120" t="s">
        <v>408</v>
      </c>
      <c r="BG63" s="120" t="s">
        <v>408</v>
      </c>
      <c r="BH63" s="120" t="s">
        <v>408</v>
      </c>
      <c r="BI63" s="2"/>
      <c r="BJ63" s="3"/>
      <c r="BK63" s="3"/>
      <c r="BL63" s="3"/>
      <c r="BM63" s="3"/>
    </row>
    <row r="64" spans="1:65" ht="15">
      <c r="A64" s="65" t="s">
        <v>507</v>
      </c>
      <c r="B64" s="66"/>
      <c r="C64" s="66"/>
      <c r="D64" s="67">
        <v>466.6666666666667</v>
      </c>
      <c r="E64" s="127"/>
      <c r="F64" s="98" t="str">
        <f>HYPERLINK("https://yt3.ggpht.com/a/AATXAJwLFbhzJgKEbLgEQlU1x-Zv2dY-VKXrmsx36w=s88-c-k-c0xffffffff-no-rj-mo")</f>
        <v>https://yt3.ggpht.com/a/AATXAJwLFbhzJgKEbLgEQlU1x-Zv2dY-VKXrmsx36w=s88-c-k-c0xffffffff-no-rj-mo</v>
      </c>
      <c r="G64" s="128"/>
      <c r="H64" s="70" t="s">
        <v>969</v>
      </c>
      <c r="I64" s="71"/>
      <c r="J64" s="129"/>
      <c r="K64" s="70" t="s">
        <v>969</v>
      </c>
      <c r="L64" s="130">
        <v>323.51612903225805</v>
      </c>
      <c r="M64" s="75">
        <v>8669.345703125</v>
      </c>
      <c r="N64" s="75">
        <v>8079.806640625</v>
      </c>
      <c r="O64" s="76"/>
      <c r="P64" s="77"/>
      <c r="Q64" s="77"/>
      <c r="R64" s="131"/>
      <c r="S64" s="48">
        <v>1</v>
      </c>
      <c r="T64" s="48">
        <v>1</v>
      </c>
      <c r="U64" s="49">
        <v>0</v>
      </c>
      <c r="V64" s="49">
        <v>0.083333</v>
      </c>
      <c r="W64" s="49">
        <v>0</v>
      </c>
      <c r="X64" s="49">
        <v>0.587347</v>
      </c>
      <c r="Y64" s="49">
        <v>0</v>
      </c>
      <c r="Z64" s="49">
        <v>1</v>
      </c>
      <c r="AA64" s="72">
        <v>64</v>
      </c>
      <c r="AB64" s="72"/>
      <c r="AC64" s="73"/>
      <c r="AD64" s="80" t="s">
        <v>969</v>
      </c>
      <c r="AE64" s="80"/>
      <c r="AF64" s="80"/>
      <c r="AG64" s="80"/>
      <c r="AH64" s="80"/>
      <c r="AI64" s="80"/>
      <c r="AJ64" s="84">
        <v>40814.02042824074</v>
      </c>
      <c r="AK64" s="82" t="str">
        <f>HYPERLINK("https://yt3.ggpht.com/a/AATXAJwLFbhzJgKEbLgEQlU1x-Zv2dY-VKXrmsx36w=s88-c-k-c0xffffffff-no-rj-mo")</f>
        <v>https://yt3.ggpht.com/a/AATXAJwLFbhzJgKEbLgEQlU1x-Zv2dY-VKXrmsx36w=s88-c-k-c0xffffffff-no-rj-mo</v>
      </c>
      <c r="AL64" s="80">
        <v>901</v>
      </c>
      <c r="AM64" s="80">
        <v>0</v>
      </c>
      <c r="AN64" s="80">
        <v>1</v>
      </c>
      <c r="AO64" s="80" t="b">
        <v>0</v>
      </c>
      <c r="AP64" s="80">
        <v>1</v>
      </c>
      <c r="AQ64" s="80"/>
      <c r="AR64" s="80"/>
      <c r="AS64" s="80" t="s">
        <v>230</v>
      </c>
      <c r="AT64" s="82" t="str">
        <f>HYPERLINK("https://www.youtube.com/channel/UCcBqmhhOJhdSmfXNeIBAehw")</f>
        <v>https://www.youtube.com/channel/UCcBqmhhOJhdSmfXNeIBAehw</v>
      </c>
      <c r="AU64" s="79" t="str">
        <f>REPLACE(INDEX(GroupVertices[Group],MATCH(Vertices[[#This Row],[Vertex]],GroupVertices[Vertex],0)),1,1,"")</f>
        <v>7</v>
      </c>
      <c r="AV64" s="48"/>
      <c r="AW64" s="49"/>
      <c r="AX64" s="48"/>
      <c r="AY64" s="49"/>
      <c r="AZ64" s="48"/>
      <c r="BA64" s="49"/>
      <c r="BB64" s="48"/>
      <c r="BC64" s="49"/>
      <c r="BD64" s="48"/>
      <c r="BE64" s="120" t="s">
        <v>408</v>
      </c>
      <c r="BF64" s="120" t="s">
        <v>408</v>
      </c>
      <c r="BG64" s="120" t="s">
        <v>408</v>
      </c>
      <c r="BH64" s="120" t="s">
        <v>408</v>
      </c>
      <c r="BI64" s="2"/>
      <c r="BJ64" s="3"/>
      <c r="BK64" s="3"/>
      <c r="BL64" s="3"/>
      <c r="BM64" s="3"/>
    </row>
    <row r="65" spans="1:65" ht="15">
      <c r="A65" s="65" t="s">
        <v>508</v>
      </c>
      <c r="B65" s="66"/>
      <c r="C65" s="66"/>
      <c r="D65" s="67">
        <v>466.6666666666667</v>
      </c>
      <c r="E65" s="127"/>
      <c r="F65" s="98" t="str">
        <f>HYPERLINK("https://yt3.ggpht.com/a/AATXAJwMeZvZjt0O02Dvc6RKD_8Y_k0B5sPZb5xOjA=s88-c-k-c0xffffffff-no-rj-mo")</f>
        <v>https://yt3.ggpht.com/a/AATXAJwMeZvZjt0O02Dvc6RKD_8Y_k0B5sPZb5xOjA=s88-c-k-c0xffffffff-no-rj-mo</v>
      </c>
      <c r="G65" s="128"/>
      <c r="H65" s="70" t="s">
        <v>970</v>
      </c>
      <c r="I65" s="71"/>
      <c r="J65" s="129"/>
      <c r="K65" s="70" t="s">
        <v>970</v>
      </c>
      <c r="L65" s="130">
        <v>323.51612903225805</v>
      </c>
      <c r="M65" s="75">
        <v>8069.00634765625</v>
      </c>
      <c r="N65" s="75">
        <v>7602.54541015625</v>
      </c>
      <c r="O65" s="76"/>
      <c r="P65" s="77"/>
      <c r="Q65" s="77"/>
      <c r="R65" s="131"/>
      <c r="S65" s="48">
        <v>1</v>
      </c>
      <c r="T65" s="48">
        <v>1</v>
      </c>
      <c r="U65" s="49">
        <v>0</v>
      </c>
      <c r="V65" s="49">
        <v>0.083333</v>
      </c>
      <c r="W65" s="49">
        <v>0</v>
      </c>
      <c r="X65" s="49">
        <v>0.587347</v>
      </c>
      <c r="Y65" s="49">
        <v>0</v>
      </c>
      <c r="Z65" s="49">
        <v>1</v>
      </c>
      <c r="AA65" s="72">
        <v>65</v>
      </c>
      <c r="AB65" s="72"/>
      <c r="AC65" s="73"/>
      <c r="AD65" s="80" t="s">
        <v>970</v>
      </c>
      <c r="AE65" s="80"/>
      <c r="AF65" s="80"/>
      <c r="AG65" s="80"/>
      <c r="AH65" s="80"/>
      <c r="AI65" s="80"/>
      <c r="AJ65" s="84">
        <v>38901.843831018516</v>
      </c>
      <c r="AK65" s="82" t="str">
        <f>HYPERLINK("https://yt3.ggpht.com/a/AATXAJwMeZvZjt0O02Dvc6RKD_8Y_k0B5sPZb5xOjA=s88-c-k-c0xffffffff-no-rj-mo")</f>
        <v>https://yt3.ggpht.com/a/AATXAJwMeZvZjt0O02Dvc6RKD_8Y_k0B5sPZb5xOjA=s88-c-k-c0xffffffff-no-rj-mo</v>
      </c>
      <c r="AL65" s="80">
        <v>2040</v>
      </c>
      <c r="AM65" s="80">
        <v>0</v>
      </c>
      <c r="AN65" s="80">
        <v>11</v>
      </c>
      <c r="AO65" s="80" t="b">
        <v>0</v>
      </c>
      <c r="AP65" s="80">
        <v>5</v>
      </c>
      <c r="AQ65" s="80"/>
      <c r="AR65" s="80"/>
      <c r="AS65" s="80" t="s">
        <v>230</v>
      </c>
      <c r="AT65" s="82" t="str">
        <f>HYPERLINK("https://www.youtube.com/channel/UClfdPRaAYRr_hm1QXPw0qfg")</f>
        <v>https://www.youtube.com/channel/UClfdPRaAYRr_hm1QXPw0qfg</v>
      </c>
      <c r="AU65" s="79" t="str">
        <f>REPLACE(INDEX(GroupVertices[Group],MATCH(Vertices[[#This Row],[Vertex]],GroupVertices[Vertex],0)),1,1,"")</f>
        <v>7</v>
      </c>
      <c r="AV65" s="48"/>
      <c r="AW65" s="49"/>
      <c r="AX65" s="48"/>
      <c r="AY65" s="49"/>
      <c r="AZ65" s="48"/>
      <c r="BA65" s="49"/>
      <c r="BB65" s="48"/>
      <c r="BC65" s="49"/>
      <c r="BD65" s="48"/>
      <c r="BE65" s="120" t="s">
        <v>408</v>
      </c>
      <c r="BF65" s="120" t="s">
        <v>408</v>
      </c>
      <c r="BG65" s="120" t="s">
        <v>408</v>
      </c>
      <c r="BH65" s="120" t="s">
        <v>408</v>
      </c>
      <c r="BI65" s="2"/>
      <c r="BJ65" s="3"/>
      <c r="BK65" s="3"/>
      <c r="BL65" s="3"/>
      <c r="BM65" s="3"/>
    </row>
    <row r="66" spans="1:65" ht="15">
      <c r="A66" s="65" t="s">
        <v>509</v>
      </c>
      <c r="B66" s="66"/>
      <c r="C66" s="66"/>
      <c r="D66" s="67">
        <v>200</v>
      </c>
      <c r="E66" s="127"/>
      <c r="F66" s="98" t="str">
        <f>HYPERLINK("https://yt3.ggpht.com/a/AATXAJxDk7Cz6Nj1Iw27clHfaOp52oNDASdRI6LBlw=s88-c-k-c0xffffffff-no-rj-mo")</f>
        <v>https://yt3.ggpht.com/a/AATXAJxDk7Cz6Nj1Iw27clHfaOp52oNDASdRI6LBlw=s88-c-k-c0xffffffff-no-rj-mo</v>
      </c>
      <c r="G66" s="128"/>
      <c r="H66" s="70" t="s">
        <v>971</v>
      </c>
      <c r="I66" s="71"/>
      <c r="J66" s="129"/>
      <c r="K66" s="70" t="s">
        <v>971</v>
      </c>
      <c r="L66" s="130">
        <v>1</v>
      </c>
      <c r="M66" s="75">
        <v>8652.0576171875</v>
      </c>
      <c r="N66" s="75">
        <v>9751.0908203125</v>
      </c>
      <c r="O66" s="76"/>
      <c r="P66" s="77"/>
      <c r="Q66" s="77"/>
      <c r="R66" s="131"/>
      <c r="S66" s="48">
        <v>0</v>
      </c>
      <c r="T66" s="48">
        <v>1</v>
      </c>
      <c r="U66" s="49">
        <v>0</v>
      </c>
      <c r="V66" s="49">
        <v>0.066667</v>
      </c>
      <c r="W66" s="49">
        <v>0</v>
      </c>
      <c r="X66" s="49">
        <v>0.575653</v>
      </c>
      <c r="Y66" s="49">
        <v>0</v>
      </c>
      <c r="Z66" s="49">
        <v>0</v>
      </c>
      <c r="AA66" s="72">
        <v>66</v>
      </c>
      <c r="AB66" s="72"/>
      <c r="AC66" s="73"/>
      <c r="AD66" s="80" t="s">
        <v>971</v>
      </c>
      <c r="AE66" s="80" t="s">
        <v>1345</v>
      </c>
      <c r="AF66" s="80"/>
      <c r="AG66" s="80"/>
      <c r="AH66" s="80"/>
      <c r="AI66" s="80"/>
      <c r="AJ66" s="84">
        <v>40055.694340277776</v>
      </c>
      <c r="AK66" s="82" t="str">
        <f>HYPERLINK("https://yt3.ggpht.com/a/AATXAJxDk7Cz6Nj1Iw27clHfaOp52oNDASdRI6LBlw=s88-c-k-c0xffffffff-no-rj-mo")</f>
        <v>https://yt3.ggpht.com/a/AATXAJxDk7Cz6Nj1Iw27clHfaOp52oNDASdRI6LBlw=s88-c-k-c0xffffffff-no-rj-mo</v>
      </c>
      <c r="AL66" s="80">
        <v>0</v>
      </c>
      <c r="AM66" s="80">
        <v>0</v>
      </c>
      <c r="AN66" s="80">
        <v>5</v>
      </c>
      <c r="AO66" s="80" t="b">
        <v>0</v>
      </c>
      <c r="AP66" s="80">
        <v>0</v>
      </c>
      <c r="AQ66" s="80"/>
      <c r="AR66" s="80"/>
      <c r="AS66" s="80" t="s">
        <v>230</v>
      </c>
      <c r="AT66" s="82" t="str">
        <f>HYPERLINK("https://www.youtube.com/channel/UCaibApO4Ht7dCy_MZwlVNQw")</f>
        <v>https://www.youtube.com/channel/UCaibApO4Ht7dCy_MZwlVNQw</v>
      </c>
      <c r="AU66" s="79" t="str">
        <f>REPLACE(INDEX(GroupVertices[Group],MATCH(Vertices[[#This Row],[Vertex]],GroupVertices[Vertex],0)),1,1,"")</f>
        <v>7</v>
      </c>
      <c r="AV66" s="48">
        <v>0</v>
      </c>
      <c r="AW66" s="49">
        <v>0</v>
      </c>
      <c r="AX66" s="48">
        <v>1</v>
      </c>
      <c r="AY66" s="49">
        <v>1.1904761904761905</v>
      </c>
      <c r="AZ66" s="48">
        <v>0</v>
      </c>
      <c r="BA66" s="49">
        <v>0</v>
      </c>
      <c r="BB66" s="48">
        <v>83</v>
      </c>
      <c r="BC66" s="49">
        <v>98.80952380952381</v>
      </c>
      <c r="BD66" s="48">
        <v>84</v>
      </c>
      <c r="BE66" s="120" t="s">
        <v>408</v>
      </c>
      <c r="BF66" s="120" t="s">
        <v>408</v>
      </c>
      <c r="BG66" s="120" t="s">
        <v>408</v>
      </c>
      <c r="BH66" s="120" t="s">
        <v>408</v>
      </c>
      <c r="BI66" s="2"/>
      <c r="BJ66" s="3"/>
      <c r="BK66" s="3"/>
      <c r="BL66" s="3"/>
      <c r="BM66" s="3"/>
    </row>
    <row r="67" spans="1:65" ht="15">
      <c r="A67" s="65" t="s">
        <v>510</v>
      </c>
      <c r="B67" s="66"/>
      <c r="C67" s="66"/>
      <c r="D67" s="67">
        <v>1000</v>
      </c>
      <c r="E67" s="127"/>
      <c r="F67" s="98" t="str">
        <f>HYPERLINK("https://yt3.ggpht.com/a/AATXAJy-jRPJYYH2jQ-YLTe2PdWzIYGA8YzznvgoXg=s88-c-k-c0xffffffff-no-rj-mo")</f>
        <v>https://yt3.ggpht.com/a/AATXAJy-jRPJYYH2jQ-YLTe2PdWzIYGA8YzznvgoXg=s88-c-k-c0xffffffff-no-rj-mo</v>
      </c>
      <c r="G67" s="128"/>
      <c r="H67" s="70" t="s">
        <v>972</v>
      </c>
      <c r="I67" s="71"/>
      <c r="J67" s="129"/>
      <c r="K67" s="70" t="s">
        <v>972</v>
      </c>
      <c r="L67" s="130">
        <v>968.5483870967741</v>
      </c>
      <c r="M67" s="75">
        <v>8345.611328125</v>
      </c>
      <c r="N67" s="75">
        <v>9130.5615234375</v>
      </c>
      <c r="O67" s="76"/>
      <c r="P67" s="77"/>
      <c r="Q67" s="77"/>
      <c r="R67" s="131"/>
      <c r="S67" s="48">
        <v>3</v>
      </c>
      <c r="T67" s="48">
        <v>2</v>
      </c>
      <c r="U67" s="49">
        <v>10</v>
      </c>
      <c r="V67" s="49">
        <v>0.1</v>
      </c>
      <c r="W67" s="49">
        <v>0</v>
      </c>
      <c r="X67" s="49">
        <v>1.502304</v>
      </c>
      <c r="Y67" s="49">
        <v>0</v>
      </c>
      <c r="Z67" s="49">
        <v>0.5</v>
      </c>
      <c r="AA67" s="72">
        <v>67</v>
      </c>
      <c r="AB67" s="72"/>
      <c r="AC67" s="73"/>
      <c r="AD67" s="80" t="s">
        <v>972</v>
      </c>
      <c r="AE67" s="80"/>
      <c r="AF67" s="80"/>
      <c r="AG67" s="80"/>
      <c r="AH67" s="80"/>
      <c r="AI67" s="80"/>
      <c r="AJ67" s="84">
        <v>40838.18239583333</v>
      </c>
      <c r="AK67" s="82" t="str">
        <f>HYPERLINK("https://yt3.ggpht.com/a/AATXAJy-jRPJYYH2jQ-YLTe2PdWzIYGA8YzznvgoXg=s88-c-k-c0xffffffff-no-rj-mo")</f>
        <v>https://yt3.ggpht.com/a/AATXAJy-jRPJYYH2jQ-YLTe2PdWzIYGA8YzznvgoXg=s88-c-k-c0xffffffff-no-rj-mo</v>
      </c>
      <c r="AL67" s="80">
        <v>0</v>
      </c>
      <c r="AM67" s="80">
        <v>0</v>
      </c>
      <c r="AN67" s="80">
        <v>0</v>
      </c>
      <c r="AO67" s="80" t="b">
        <v>0</v>
      </c>
      <c r="AP67" s="80">
        <v>0</v>
      </c>
      <c r="AQ67" s="80"/>
      <c r="AR67" s="80"/>
      <c r="AS67" s="80" t="s">
        <v>230</v>
      </c>
      <c r="AT67" s="82" t="str">
        <f>HYPERLINK("https://www.youtube.com/channel/UCoBQCIDn3ecsqTOv94tVv1Q")</f>
        <v>https://www.youtube.com/channel/UCoBQCIDn3ecsqTOv94tVv1Q</v>
      </c>
      <c r="AU67" s="79" t="str">
        <f>REPLACE(INDEX(GroupVertices[Group],MATCH(Vertices[[#This Row],[Vertex]],GroupVertices[Vertex],0)),1,1,"")</f>
        <v>7</v>
      </c>
      <c r="AV67" s="48"/>
      <c r="AW67" s="49"/>
      <c r="AX67" s="48"/>
      <c r="AY67" s="49"/>
      <c r="AZ67" s="48"/>
      <c r="BA67" s="49"/>
      <c r="BB67" s="48"/>
      <c r="BC67" s="49"/>
      <c r="BD67" s="48"/>
      <c r="BE67" s="120" t="s">
        <v>408</v>
      </c>
      <c r="BF67" s="120" t="s">
        <v>408</v>
      </c>
      <c r="BG67" s="120" t="s">
        <v>408</v>
      </c>
      <c r="BH67" s="120" t="s">
        <v>408</v>
      </c>
      <c r="BI67" s="2"/>
      <c r="BJ67" s="3"/>
      <c r="BK67" s="3"/>
      <c r="BL67" s="3"/>
      <c r="BM67" s="3"/>
    </row>
    <row r="68" spans="1:65" ht="15">
      <c r="A68" s="65" t="s">
        <v>511</v>
      </c>
      <c r="B68" s="66"/>
      <c r="C68" s="66"/>
      <c r="D68" s="67">
        <v>1000</v>
      </c>
      <c r="E68" s="127"/>
      <c r="F68" s="98" t="str">
        <f>HYPERLINK("https://yt3.ggpht.com/a/AATXAJzSZNkEUhxF-NCZgW0SxklPiEIDADrtY9TgGQ=s88-c-k-c0xffffffff-no-rj-mo")</f>
        <v>https://yt3.ggpht.com/a/AATXAJzSZNkEUhxF-NCZgW0SxklPiEIDADrtY9TgGQ=s88-c-k-c0xffffffff-no-rj-mo</v>
      </c>
      <c r="G68" s="128"/>
      <c r="H68" s="70" t="s">
        <v>973</v>
      </c>
      <c r="I68" s="71"/>
      <c r="J68" s="129"/>
      <c r="K68" s="70" t="s">
        <v>973</v>
      </c>
      <c r="L68" s="130">
        <v>2258.6129032258063</v>
      </c>
      <c r="M68" s="75">
        <v>6190.74267578125</v>
      </c>
      <c r="N68" s="75">
        <v>8667.677734375</v>
      </c>
      <c r="O68" s="76"/>
      <c r="P68" s="77"/>
      <c r="Q68" s="77"/>
      <c r="R68" s="131"/>
      <c r="S68" s="48">
        <v>7</v>
      </c>
      <c r="T68" s="48">
        <v>7</v>
      </c>
      <c r="U68" s="49">
        <v>54</v>
      </c>
      <c r="V68" s="49">
        <v>0.111111</v>
      </c>
      <c r="W68" s="49">
        <v>0</v>
      </c>
      <c r="X68" s="49">
        <v>3.304419</v>
      </c>
      <c r="Y68" s="49">
        <v>0</v>
      </c>
      <c r="Z68" s="49">
        <v>1</v>
      </c>
      <c r="AA68" s="72">
        <v>68</v>
      </c>
      <c r="AB68" s="72"/>
      <c r="AC68" s="73"/>
      <c r="AD68" s="80" t="s">
        <v>973</v>
      </c>
      <c r="AE68" s="80" t="s">
        <v>1346</v>
      </c>
      <c r="AF68" s="80"/>
      <c r="AG68" s="80"/>
      <c r="AH68" s="80"/>
      <c r="AI68" s="80" t="s">
        <v>1411</v>
      </c>
      <c r="AJ68" s="84">
        <v>41892.895578703705</v>
      </c>
      <c r="AK68" s="82" t="str">
        <f>HYPERLINK("https://yt3.ggpht.com/a/AATXAJzSZNkEUhxF-NCZgW0SxklPiEIDADrtY9TgGQ=s88-c-k-c0xffffffff-no-rj-mo")</f>
        <v>https://yt3.ggpht.com/a/AATXAJzSZNkEUhxF-NCZgW0SxklPiEIDADrtY9TgGQ=s88-c-k-c0xffffffff-no-rj-mo</v>
      </c>
      <c r="AL68" s="80">
        <v>5631612</v>
      </c>
      <c r="AM68" s="80">
        <v>0</v>
      </c>
      <c r="AN68" s="80">
        <v>45300</v>
      </c>
      <c r="AO68" s="80" t="b">
        <v>0</v>
      </c>
      <c r="AP68" s="80">
        <v>659</v>
      </c>
      <c r="AQ68" s="80"/>
      <c r="AR68" s="80"/>
      <c r="AS68" s="80" t="s">
        <v>230</v>
      </c>
      <c r="AT68" s="82" t="str">
        <f>HYPERLINK("https://www.youtube.com/channel/UCJ7UhloHSA4wAqPzyi6TOkw")</f>
        <v>https://www.youtube.com/channel/UCJ7UhloHSA4wAqPzyi6TOkw</v>
      </c>
      <c r="AU68" s="79" t="str">
        <f>REPLACE(INDEX(GroupVertices[Group],MATCH(Vertices[[#This Row],[Vertex]],GroupVertices[Vertex],0)),1,1,"")</f>
        <v>6</v>
      </c>
      <c r="AV68" s="48">
        <v>6</v>
      </c>
      <c r="AW68" s="49">
        <v>7.5</v>
      </c>
      <c r="AX68" s="48">
        <v>0</v>
      </c>
      <c r="AY68" s="49">
        <v>0</v>
      </c>
      <c r="AZ68" s="48">
        <v>0</v>
      </c>
      <c r="BA68" s="49">
        <v>0</v>
      </c>
      <c r="BB68" s="48">
        <v>74</v>
      </c>
      <c r="BC68" s="49">
        <v>92.5</v>
      </c>
      <c r="BD68" s="48">
        <v>80</v>
      </c>
      <c r="BE68" s="120" t="s">
        <v>408</v>
      </c>
      <c r="BF68" s="120" t="s">
        <v>408</v>
      </c>
      <c r="BG68" s="120" t="s">
        <v>408</v>
      </c>
      <c r="BH68" s="120" t="s">
        <v>408</v>
      </c>
      <c r="BI68" s="2"/>
      <c r="BJ68" s="3"/>
      <c r="BK68" s="3"/>
      <c r="BL68" s="3"/>
      <c r="BM68" s="3"/>
    </row>
    <row r="69" spans="1:65" ht="15">
      <c r="A69" s="65" t="s">
        <v>512</v>
      </c>
      <c r="B69" s="66"/>
      <c r="C69" s="66"/>
      <c r="D69" s="67">
        <v>466.6666666666667</v>
      </c>
      <c r="E69" s="127"/>
      <c r="F69" s="98" t="str">
        <f>HYPERLINK("https://yt3.ggpht.com/a/AATXAJxENtJSF9Gj931YxIjc3sPfN0XSpHgiVOC5wA=s88-c-k-c0xffffffff-no-rj-mo")</f>
        <v>https://yt3.ggpht.com/a/AATXAJxENtJSF9Gj931YxIjc3sPfN0XSpHgiVOC5wA=s88-c-k-c0xffffffff-no-rj-mo</v>
      </c>
      <c r="G69" s="128"/>
      <c r="H69" s="70" t="s">
        <v>974</v>
      </c>
      <c r="I69" s="71"/>
      <c r="J69" s="129"/>
      <c r="K69" s="70" t="s">
        <v>974</v>
      </c>
      <c r="L69" s="130">
        <v>323.51612903225805</v>
      </c>
      <c r="M69" s="75">
        <v>5597.84423828125</v>
      </c>
      <c r="N69" s="75">
        <v>8596.3544921875</v>
      </c>
      <c r="O69" s="76"/>
      <c r="P69" s="77"/>
      <c r="Q69" s="77"/>
      <c r="R69" s="131"/>
      <c r="S69" s="48">
        <v>1</v>
      </c>
      <c r="T69" s="48">
        <v>1</v>
      </c>
      <c r="U69" s="49">
        <v>0</v>
      </c>
      <c r="V69" s="49">
        <v>0.0625</v>
      </c>
      <c r="W69" s="49">
        <v>0</v>
      </c>
      <c r="X69" s="49">
        <v>0.551251</v>
      </c>
      <c r="Y69" s="49">
        <v>0</v>
      </c>
      <c r="Z69" s="49">
        <v>1</v>
      </c>
      <c r="AA69" s="72">
        <v>69</v>
      </c>
      <c r="AB69" s="72"/>
      <c r="AC69" s="73"/>
      <c r="AD69" s="80" t="s">
        <v>974</v>
      </c>
      <c r="AE69" s="80"/>
      <c r="AF69" s="80"/>
      <c r="AG69" s="80"/>
      <c r="AH69" s="80"/>
      <c r="AI69" s="80"/>
      <c r="AJ69" s="84">
        <v>39333.20009259259</v>
      </c>
      <c r="AK69" s="82" t="str">
        <f>HYPERLINK("https://yt3.ggpht.com/a/AATXAJxENtJSF9Gj931YxIjc3sPfN0XSpHgiVOC5wA=s88-c-k-c0xffffffff-no-rj-mo")</f>
        <v>https://yt3.ggpht.com/a/AATXAJxENtJSF9Gj931YxIjc3sPfN0XSpHgiVOC5wA=s88-c-k-c0xffffffff-no-rj-mo</v>
      </c>
      <c r="AL69" s="80">
        <v>0</v>
      </c>
      <c r="AM69" s="80">
        <v>0</v>
      </c>
      <c r="AN69" s="80">
        <v>9</v>
      </c>
      <c r="AO69" s="80" t="b">
        <v>0</v>
      </c>
      <c r="AP69" s="80">
        <v>0</v>
      </c>
      <c r="AQ69" s="80"/>
      <c r="AR69" s="80"/>
      <c r="AS69" s="80" t="s">
        <v>230</v>
      </c>
      <c r="AT69" s="82" t="str">
        <f>HYPERLINK("https://www.youtube.com/channel/UCNtxphdCgm2USyyvxY_6BSw")</f>
        <v>https://www.youtube.com/channel/UCNtxphdCgm2USyyvxY_6BSw</v>
      </c>
      <c r="AU69" s="79" t="str">
        <f>REPLACE(INDEX(GroupVertices[Group],MATCH(Vertices[[#This Row],[Vertex]],GroupVertices[Vertex],0)),1,1,"")</f>
        <v>6</v>
      </c>
      <c r="AV69" s="48"/>
      <c r="AW69" s="49"/>
      <c r="AX69" s="48"/>
      <c r="AY69" s="49"/>
      <c r="AZ69" s="48"/>
      <c r="BA69" s="49"/>
      <c r="BB69" s="48"/>
      <c r="BC69" s="49"/>
      <c r="BD69" s="48"/>
      <c r="BE69" s="120" t="s">
        <v>408</v>
      </c>
      <c r="BF69" s="120" t="s">
        <v>408</v>
      </c>
      <c r="BG69" s="120" t="s">
        <v>408</v>
      </c>
      <c r="BH69" s="120" t="s">
        <v>408</v>
      </c>
      <c r="BI69" s="2"/>
      <c r="BJ69" s="3"/>
      <c r="BK69" s="3"/>
      <c r="BL69" s="3"/>
      <c r="BM69" s="3"/>
    </row>
    <row r="70" spans="1:65" ht="15">
      <c r="A70" s="65" t="s">
        <v>513</v>
      </c>
      <c r="B70" s="66"/>
      <c r="C70" s="66"/>
      <c r="D70" s="67">
        <v>466.6666666666667</v>
      </c>
      <c r="E70" s="127"/>
      <c r="F70" s="98" t="str">
        <f>HYPERLINK("https://yt3.ggpht.com/a/AATXAJxdH2Bu7vZDBkn4Eq4lH5WJOdCCQftUZAgb-w=s88-c-k-c0xffffffff-no-rj-mo")</f>
        <v>https://yt3.ggpht.com/a/AATXAJxdH2Bu7vZDBkn4Eq4lH5WJOdCCQftUZAgb-w=s88-c-k-c0xffffffff-no-rj-mo</v>
      </c>
      <c r="G70" s="128"/>
      <c r="H70" s="70" t="s">
        <v>975</v>
      </c>
      <c r="I70" s="71"/>
      <c r="J70" s="129"/>
      <c r="K70" s="70" t="s">
        <v>975</v>
      </c>
      <c r="L70" s="130">
        <v>323.51612903225805</v>
      </c>
      <c r="M70" s="75">
        <v>6245.45947265625</v>
      </c>
      <c r="N70" s="75">
        <v>7602.54541015625</v>
      </c>
      <c r="O70" s="76"/>
      <c r="P70" s="77"/>
      <c r="Q70" s="77"/>
      <c r="R70" s="131"/>
      <c r="S70" s="48">
        <v>1</v>
      </c>
      <c r="T70" s="48">
        <v>1</v>
      </c>
      <c r="U70" s="49">
        <v>0</v>
      </c>
      <c r="V70" s="49">
        <v>0.0625</v>
      </c>
      <c r="W70" s="49">
        <v>0</v>
      </c>
      <c r="X70" s="49">
        <v>0.551251</v>
      </c>
      <c r="Y70" s="49">
        <v>0</v>
      </c>
      <c r="Z70" s="49">
        <v>1</v>
      </c>
      <c r="AA70" s="72">
        <v>70</v>
      </c>
      <c r="AB70" s="72"/>
      <c r="AC70" s="73"/>
      <c r="AD70" s="80" t="s">
        <v>975</v>
      </c>
      <c r="AE70" s="80"/>
      <c r="AF70" s="80"/>
      <c r="AG70" s="80"/>
      <c r="AH70" s="80"/>
      <c r="AI70" s="80"/>
      <c r="AJ70" s="84">
        <v>38912.088842592595</v>
      </c>
      <c r="AK70" s="82" t="str">
        <f>HYPERLINK("https://yt3.ggpht.com/a/AATXAJxdH2Bu7vZDBkn4Eq4lH5WJOdCCQftUZAgb-w=s88-c-k-c0xffffffff-no-rj-mo")</f>
        <v>https://yt3.ggpht.com/a/AATXAJxdH2Bu7vZDBkn4Eq4lH5WJOdCCQftUZAgb-w=s88-c-k-c0xffffffff-no-rj-mo</v>
      </c>
      <c r="AL70" s="80">
        <v>0</v>
      </c>
      <c r="AM70" s="80">
        <v>0</v>
      </c>
      <c r="AN70" s="80">
        <v>101</v>
      </c>
      <c r="AO70" s="80" t="b">
        <v>0</v>
      </c>
      <c r="AP70" s="80">
        <v>0</v>
      </c>
      <c r="AQ70" s="80"/>
      <c r="AR70" s="80"/>
      <c r="AS70" s="80" t="s">
        <v>230</v>
      </c>
      <c r="AT70" s="82" t="str">
        <f>HYPERLINK("https://www.youtube.com/channel/UCYHnVKMDox5besxqEIkroww")</f>
        <v>https://www.youtube.com/channel/UCYHnVKMDox5besxqEIkroww</v>
      </c>
      <c r="AU70" s="79" t="str">
        <f>REPLACE(INDEX(GroupVertices[Group],MATCH(Vertices[[#This Row],[Vertex]],GroupVertices[Vertex],0)),1,1,"")</f>
        <v>6</v>
      </c>
      <c r="AV70" s="48"/>
      <c r="AW70" s="49"/>
      <c r="AX70" s="48"/>
      <c r="AY70" s="49"/>
      <c r="AZ70" s="48"/>
      <c r="BA70" s="49"/>
      <c r="BB70" s="48"/>
      <c r="BC70" s="49"/>
      <c r="BD70" s="48"/>
      <c r="BE70" s="120" t="s">
        <v>408</v>
      </c>
      <c r="BF70" s="120" t="s">
        <v>408</v>
      </c>
      <c r="BG70" s="120" t="s">
        <v>408</v>
      </c>
      <c r="BH70" s="120" t="s">
        <v>408</v>
      </c>
      <c r="BI70" s="2"/>
      <c r="BJ70" s="3"/>
      <c r="BK70" s="3"/>
      <c r="BL70" s="3"/>
      <c r="BM70" s="3"/>
    </row>
    <row r="71" spans="1:65" ht="15">
      <c r="A71" s="65" t="s">
        <v>514</v>
      </c>
      <c r="B71" s="66"/>
      <c r="C71" s="66"/>
      <c r="D71" s="67">
        <v>466.6666666666667</v>
      </c>
      <c r="E71" s="127"/>
      <c r="F71" s="98" t="str">
        <f>HYPERLINK("https://yt3.ggpht.com/a/AATXAJybxPTNxJROi6DDhR9CRSwyCaD2p6uqQFcSAg=s88-c-k-c0xffffffff-no-rj-mo")</f>
        <v>https://yt3.ggpht.com/a/AATXAJybxPTNxJROi6DDhR9CRSwyCaD2p6uqQFcSAg=s88-c-k-c0xffffffff-no-rj-mo</v>
      </c>
      <c r="G71" s="128"/>
      <c r="H71" s="70" t="s">
        <v>976</v>
      </c>
      <c r="I71" s="71"/>
      <c r="J71" s="129"/>
      <c r="K71" s="70" t="s">
        <v>976</v>
      </c>
      <c r="L71" s="130">
        <v>323.51612903225805</v>
      </c>
      <c r="M71" s="75">
        <v>5763.17529296875</v>
      </c>
      <c r="N71" s="75">
        <v>9427.7236328125</v>
      </c>
      <c r="O71" s="76"/>
      <c r="P71" s="77"/>
      <c r="Q71" s="77"/>
      <c r="R71" s="131"/>
      <c r="S71" s="48">
        <v>1</v>
      </c>
      <c r="T71" s="48">
        <v>1</v>
      </c>
      <c r="U71" s="49">
        <v>0</v>
      </c>
      <c r="V71" s="49">
        <v>0.0625</v>
      </c>
      <c r="W71" s="49">
        <v>0</v>
      </c>
      <c r="X71" s="49">
        <v>0.551251</v>
      </c>
      <c r="Y71" s="49">
        <v>0</v>
      </c>
      <c r="Z71" s="49">
        <v>1</v>
      </c>
      <c r="AA71" s="72">
        <v>71</v>
      </c>
      <c r="AB71" s="72"/>
      <c r="AC71" s="73"/>
      <c r="AD71" s="80" t="s">
        <v>976</v>
      </c>
      <c r="AE71" s="80"/>
      <c r="AF71" s="80"/>
      <c r="AG71" s="80"/>
      <c r="AH71" s="80"/>
      <c r="AI71" s="80"/>
      <c r="AJ71" s="84">
        <v>40951.08520833333</v>
      </c>
      <c r="AK71" s="82" t="str">
        <f>HYPERLINK("https://yt3.ggpht.com/a/AATXAJybxPTNxJROi6DDhR9CRSwyCaD2p6uqQFcSAg=s88-c-k-c0xffffffff-no-rj-mo")</f>
        <v>https://yt3.ggpht.com/a/AATXAJybxPTNxJROi6DDhR9CRSwyCaD2p6uqQFcSAg=s88-c-k-c0xffffffff-no-rj-mo</v>
      </c>
      <c r="AL71" s="80">
        <v>0</v>
      </c>
      <c r="AM71" s="80">
        <v>0</v>
      </c>
      <c r="AN71" s="80">
        <v>1</v>
      </c>
      <c r="AO71" s="80" t="b">
        <v>0</v>
      </c>
      <c r="AP71" s="80">
        <v>0</v>
      </c>
      <c r="AQ71" s="80"/>
      <c r="AR71" s="80"/>
      <c r="AS71" s="80" t="s">
        <v>230</v>
      </c>
      <c r="AT71" s="82" t="str">
        <f>HYPERLINK("https://www.youtube.com/channel/UCiofLi27n8sgbewHe6Bv-5A")</f>
        <v>https://www.youtube.com/channel/UCiofLi27n8sgbewHe6Bv-5A</v>
      </c>
      <c r="AU71" s="79" t="str">
        <f>REPLACE(INDEX(GroupVertices[Group],MATCH(Vertices[[#This Row],[Vertex]],GroupVertices[Vertex],0)),1,1,"")</f>
        <v>6</v>
      </c>
      <c r="AV71" s="48"/>
      <c r="AW71" s="49"/>
      <c r="AX71" s="48"/>
      <c r="AY71" s="49"/>
      <c r="AZ71" s="48"/>
      <c r="BA71" s="49"/>
      <c r="BB71" s="48"/>
      <c r="BC71" s="49"/>
      <c r="BD71" s="48"/>
      <c r="BE71" s="120" t="s">
        <v>408</v>
      </c>
      <c r="BF71" s="120" t="s">
        <v>408</v>
      </c>
      <c r="BG71" s="120" t="s">
        <v>408</v>
      </c>
      <c r="BH71" s="120" t="s">
        <v>408</v>
      </c>
      <c r="BI71" s="2"/>
      <c r="BJ71" s="3"/>
      <c r="BK71" s="3"/>
      <c r="BL71" s="3"/>
      <c r="BM71" s="3"/>
    </row>
    <row r="72" spans="1:65" ht="15">
      <c r="A72" s="65" t="s">
        <v>515</v>
      </c>
      <c r="B72" s="66"/>
      <c r="C72" s="66"/>
      <c r="D72" s="67">
        <v>200</v>
      </c>
      <c r="E72" s="127"/>
      <c r="F72" s="98" t="str">
        <f>HYPERLINK("https://yt3.ggpht.com/a/AATXAJy-KCUNydRVQwY2Be_3mgTRv-cODFCfIF0kdg=s88-c-k-c0xffffffff-no-rj-mo")</f>
        <v>https://yt3.ggpht.com/a/AATXAJy-KCUNydRVQwY2Be_3mgTRv-cODFCfIF0kdg=s88-c-k-c0xffffffff-no-rj-mo</v>
      </c>
      <c r="G72" s="128"/>
      <c r="H72" s="70" t="s">
        <v>977</v>
      </c>
      <c r="I72" s="71"/>
      <c r="J72" s="129"/>
      <c r="K72" s="70" t="s">
        <v>977</v>
      </c>
      <c r="L72" s="130">
        <v>1</v>
      </c>
      <c r="M72" s="75">
        <v>7273.208984375</v>
      </c>
      <c r="N72" s="75">
        <v>7937.6357421875</v>
      </c>
      <c r="O72" s="76"/>
      <c r="P72" s="77"/>
      <c r="Q72" s="77"/>
      <c r="R72" s="131"/>
      <c r="S72" s="48">
        <v>0</v>
      </c>
      <c r="T72" s="48">
        <v>1</v>
      </c>
      <c r="U72" s="49">
        <v>0</v>
      </c>
      <c r="V72" s="49">
        <v>0.047619</v>
      </c>
      <c r="W72" s="49">
        <v>0</v>
      </c>
      <c r="X72" s="49">
        <v>0.554159</v>
      </c>
      <c r="Y72" s="49">
        <v>0</v>
      </c>
      <c r="Z72" s="49">
        <v>0</v>
      </c>
      <c r="AA72" s="72">
        <v>72</v>
      </c>
      <c r="AB72" s="72"/>
      <c r="AC72" s="73"/>
      <c r="AD72" s="80" t="s">
        <v>977</v>
      </c>
      <c r="AE72" s="80"/>
      <c r="AF72" s="80"/>
      <c r="AG72" s="80"/>
      <c r="AH72" s="80"/>
      <c r="AI72" s="80"/>
      <c r="AJ72" s="84">
        <v>39648.78979166667</v>
      </c>
      <c r="AK72" s="82" t="str">
        <f>HYPERLINK("https://yt3.ggpht.com/a/AATXAJy-KCUNydRVQwY2Be_3mgTRv-cODFCfIF0kdg=s88-c-k-c0xffffffff-no-rj-mo")</f>
        <v>https://yt3.ggpht.com/a/AATXAJy-KCUNydRVQwY2Be_3mgTRv-cODFCfIF0kdg=s88-c-k-c0xffffffff-no-rj-mo</v>
      </c>
      <c r="AL72" s="80">
        <v>85</v>
      </c>
      <c r="AM72" s="80">
        <v>0</v>
      </c>
      <c r="AN72" s="80">
        <v>1</v>
      </c>
      <c r="AO72" s="80" t="b">
        <v>0</v>
      </c>
      <c r="AP72" s="80">
        <v>1</v>
      </c>
      <c r="AQ72" s="80"/>
      <c r="AR72" s="80"/>
      <c r="AS72" s="80" t="s">
        <v>230</v>
      </c>
      <c r="AT72" s="82" t="str">
        <f>HYPERLINK("https://www.youtube.com/channel/UCO6Xy7gs7SfTHfGT6cyQ2tw")</f>
        <v>https://www.youtube.com/channel/UCO6Xy7gs7SfTHfGT6cyQ2tw</v>
      </c>
      <c r="AU72" s="79" t="str">
        <f>REPLACE(INDEX(GroupVertices[Group],MATCH(Vertices[[#This Row],[Vertex]],GroupVertices[Vertex],0)),1,1,"")</f>
        <v>6</v>
      </c>
      <c r="AV72" s="48"/>
      <c r="AW72" s="49"/>
      <c r="AX72" s="48"/>
      <c r="AY72" s="49"/>
      <c r="AZ72" s="48"/>
      <c r="BA72" s="49"/>
      <c r="BB72" s="48"/>
      <c r="BC72" s="49"/>
      <c r="BD72" s="48"/>
      <c r="BE72" s="120" t="s">
        <v>408</v>
      </c>
      <c r="BF72" s="120" t="s">
        <v>408</v>
      </c>
      <c r="BG72" s="120" t="s">
        <v>408</v>
      </c>
      <c r="BH72" s="120" t="s">
        <v>408</v>
      </c>
      <c r="BI72" s="2"/>
      <c r="BJ72" s="3"/>
      <c r="BK72" s="3"/>
      <c r="BL72" s="3"/>
      <c r="BM72" s="3"/>
    </row>
    <row r="73" spans="1:65" ht="15">
      <c r="A73" s="65" t="s">
        <v>516</v>
      </c>
      <c r="B73" s="66"/>
      <c r="C73" s="66"/>
      <c r="D73" s="67">
        <v>1000</v>
      </c>
      <c r="E73" s="127"/>
      <c r="F73" s="98" t="str">
        <f>HYPERLINK("https://yt3.ggpht.com/a/AATXAJyKtZpzcOJ7sA99n-OPHKrIa47PQoLO8kf3OA=s88-c-k-c0xffffffff-no-rj-mo")</f>
        <v>https://yt3.ggpht.com/a/AATXAJyKtZpzcOJ7sA99n-OPHKrIa47PQoLO8kf3OA=s88-c-k-c0xffffffff-no-rj-mo</v>
      </c>
      <c r="G73" s="128"/>
      <c r="H73" s="70" t="s">
        <v>978</v>
      </c>
      <c r="I73" s="71"/>
      <c r="J73" s="129"/>
      <c r="K73" s="70" t="s">
        <v>978</v>
      </c>
      <c r="L73" s="130">
        <v>968.5483870967741</v>
      </c>
      <c r="M73" s="75">
        <v>6753.4013671875</v>
      </c>
      <c r="N73" s="75">
        <v>8287.9404296875</v>
      </c>
      <c r="O73" s="76"/>
      <c r="P73" s="77"/>
      <c r="Q73" s="77"/>
      <c r="R73" s="131"/>
      <c r="S73" s="48">
        <v>3</v>
      </c>
      <c r="T73" s="48">
        <v>2</v>
      </c>
      <c r="U73" s="49">
        <v>14</v>
      </c>
      <c r="V73" s="49">
        <v>0.071429</v>
      </c>
      <c r="W73" s="49">
        <v>0</v>
      </c>
      <c r="X73" s="49">
        <v>1.426445</v>
      </c>
      <c r="Y73" s="49">
        <v>0</v>
      </c>
      <c r="Z73" s="49">
        <v>0.5</v>
      </c>
      <c r="AA73" s="72">
        <v>73</v>
      </c>
      <c r="AB73" s="72"/>
      <c r="AC73" s="73"/>
      <c r="AD73" s="80" t="s">
        <v>978</v>
      </c>
      <c r="AE73" s="80"/>
      <c r="AF73" s="80"/>
      <c r="AG73" s="80"/>
      <c r="AH73" s="80"/>
      <c r="AI73" s="80"/>
      <c r="AJ73" s="84">
        <v>42476.06513888889</v>
      </c>
      <c r="AK73" s="82" t="str">
        <f>HYPERLINK("https://yt3.ggpht.com/a/AATXAJyKtZpzcOJ7sA99n-OPHKrIa47PQoLO8kf3OA=s88-c-k-c0xffffffff-no-rj-mo")</f>
        <v>https://yt3.ggpht.com/a/AATXAJyKtZpzcOJ7sA99n-OPHKrIa47PQoLO8kf3OA=s88-c-k-c0xffffffff-no-rj-mo</v>
      </c>
      <c r="AL73" s="80">
        <v>0</v>
      </c>
      <c r="AM73" s="80">
        <v>0</v>
      </c>
      <c r="AN73" s="80">
        <v>3</v>
      </c>
      <c r="AO73" s="80" t="b">
        <v>0</v>
      </c>
      <c r="AP73" s="80">
        <v>0</v>
      </c>
      <c r="AQ73" s="80"/>
      <c r="AR73" s="80"/>
      <c r="AS73" s="80" t="s">
        <v>230</v>
      </c>
      <c r="AT73" s="82" t="str">
        <f>HYPERLINK("https://www.youtube.com/channel/UC6ow7v_YFqcyJQX72HlSewg")</f>
        <v>https://www.youtube.com/channel/UC6ow7v_YFqcyJQX72HlSewg</v>
      </c>
      <c r="AU73" s="79" t="str">
        <f>REPLACE(INDEX(GroupVertices[Group],MATCH(Vertices[[#This Row],[Vertex]],GroupVertices[Vertex],0)),1,1,"")</f>
        <v>6</v>
      </c>
      <c r="AV73" s="48"/>
      <c r="AW73" s="49"/>
      <c r="AX73" s="48"/>
      <c r="AY73" s="49"/>
      <c r="AZ73" s="48"/>
      <c r="BA73" s="49"/>
      <c r="BB73" s="48"/>
      <c r="BC73" s="49"/>
      <c r="BD73" s="48"/>
      <c r="BE73" s="120" t="s">
        <v>408</v>
      </c>
      <c r="BF73" s="120" t="s">
        <v>408</v>
      </c>
      <c r="BG73" s="120" t="s">
        <v>408</v>
      </c>
      <c r="BH73" s="120" t="s">
        <v>408</v>
      </c>
      <c r="BI73" s="2"/>
      <c r="BJ73" s="3"/>
      <c r="BK73" s="3"/>
      <c r="BL73" s="3"/>
      <c r="BM73" s="3"/>
    </row>
    <row r="74" spans="1:65" ht="15">
      <c r="A74" s="65" t="s">
        <v>517</v>
      </c>
      <c r="B74" s="66"/>
      <c r="C74" s="66"/>
      <c r="D74" s="67">
        <v>733.3333333333334</v>
      </c>
      <c r="E74" s="127"/>
      <c r="F74" s="98" t="str">
        <f>HYPERLINK("https://yt3.ggpht.com/a/AATXAJyU92J3M7MUTysp2nv1G4180TWByBpYBVbbQQ=s88-c-k-c0xffffffff-no-rj-mo")</f>
        <v>https://yt3.ggpht.com/a/AATXAJyU92J3M7MUTysp2nv1G4180TWByBpYBVbbQQ=s88-c-k-c0xffffffff-no-rj-mo</v>
      </c>
      <c r="G74" s="128"/>
      <c r="H74" s="70" t="s">
        <v>979</v>
      </c>
      <c r="I74" s="71"/>
      <c r="J74" s="129"/>
      <c r="K74" s="70" t="s">
        <v>979</v>
      </c>
      <c r="L74" s="130">
        <v>646.0322580645161</v>
      </c>
      <c r="M74" s="75">
        <v>6198.478515625</v>
      </c>
      <c r="N74" s="75">
        <v>9616.806640625</v>
      </c>
      <c r="O74" s="76"/>
      <c r="P74" s="77"/>
      <c r="Q74" s="77"/>
      <c r="R74" s="131"/>
      <c r="S74" s="48">
        <v>2</v>
      </c>
      <c r="T74" s="48">
        <v>2</v>
      </c>
      <c r="U74" s="49">
        <v>0</v>
      </c>
      <c r="V74" s="49">
        <v>0.0625</v>
      </c>
      <c r="W74" s="49">
        <v>0</v>
      </c>
      <c r="X74" s="49">
        <v>0.958696</v>
      </c>
      <c r="Y74" s="49">
        <v>0</v>
      </c>
      <c r="Z74" s="49">
        <v>1</v>
      </c>
      <c r="AA74" s="72">
        <v>74</v>
      </c>
      <c r="AB74" s="72"/>
      <c r="AC74" s="73"/>
      <c r="AD74" s="80" t="s">
        <v>979</v>
      </c>
      <c r="AE74" s="80"/>
      <c r="AF74" s="80"/>
      <c r="AG74" s="80"/>
      <c r="AH74" s="80"/>
      <c r="AI74" s="80"/>
      <c r="AJ74" s="84">
        <v>40176.515439814815</v>
      </c>
      <c r="AK74" s="82" t="str">
        <f>HYPERLINK("https://yt3.ggpht.com/a/AATXAJyU92J3M7MUTysp2nv1G4180TWByBpYBVbbQQ=s88-c-k-c0xffffffff-no-rj-mo")</f>
        <v>https://yt3.ggpht.com/a/AATXAJyU92J3M7MUTysp2nv1G4180TWByBpYBVbbQQ=s88-c-k-c0xffffffff-no-rj-mo</v>
      </c>
      <c r="AL74" s="80">
        <v>1165</v>
      </c>
      <c r="AM74" s="80">
        <v>0</v>
      </c>
      <c r="AN74" s="80">
        <v>7</v>
      </c>
      <c r="AO74" s="80" t="b">
        <v>0</v>
      </c>
      <c r="AP74" s="80">
        <v>3</v>
      </c>
      <c r="AQ74" s="80"/>
      <c r="AR74" s="80"/>
      <c r="AS74" s="80" t="s">
        <v>230</v>
      </c>
      <c r="AT74" s="82" t="str">
        <f>HYPERLINK("https://www.youtube.com/channel/UCFkCY2Xtq7Icg5SvH0eERMQ")</f>
        <v>https://www.youtube.com/channel/UCFkCY2Xtq7Icg5SvH0eERMQ</v>
      </c>
      <c r="AU74" s="79" t="str">
        <f>REPLACE(INDEX(GroupVertices[Group],MATCH(Vertices[[#This Row],[Vertex]],GroupVertices[Vertex],0)),1,1,"")</f>
        <v>6</v>
      </c>
      <c r="AV74" s="48"/>
      <c r="AW74" s="49"/>
      <c r="AX74" s="48"/>
      <c r="AY74" s="49"/>
      <c r="AZ74" s="48"/>
      <c r="BA74" s="49"/>
      <c r="BB74" s="48"/>
      <c r="BC74" s="49"/>
      <c r="BD74" s="48"/>
      <c r="BE74" s="120" t="s">
        <v>408</v>
      </c>
      <c r="BF74" s="120" t="s">
        <v>408</v>
      </c>
      <c r="BG74" s="120" t="s">
        <v>408</v>
      </c>
      <c r="BH74" s="120" t="s">
        <v>408</v>
      </c>
      <c r="BI74" s="2"/>
      <c r="BJ74" s="3"/>
      <c r="BK74" s="3"/>
      <c r="BL74" s="3"/>
      <c r="BM74" s="3"/>
    </row>
    <row r="75" spans="1:65" ht="15">
      <c r="A75" s="65" t="s">
        <v>518</v>
      </c>
      <c r="B75" s="66"/>
      <c r="C75" s="66"/>
      <c r="D75" s="67">
        <v>466.6666666666667</v>
      </c>
      <c r="E75" s="127"/>
      <c r="F75" s="98" t="str">
        <f>HYPERLINK("https://yt3.ggpht.com/a/AATXAJx4wizazkKKjJdfzRC1L_DqIMj7S4B-BnA9og=s88-c-k-c0xffffffff-no-rj-mo")</f>
        <v>https://yt3.ggpht.com/a/AATXAJx4wizazkKKjJdfzRC1L_DqIMj7S4B-BnA9og=s88-c-k-c0xffffffff-no-rj-mo</v>
      </c>
      <c r="G75" s="128"/>
      <c r="H75" s="70" t="s">
        <v>980</v>
      </c>
      <c r="I75" s="71"/>
      <c r="J75" s="129"/>
      <c r="K75" s="70" t="s">
        <v>980</v>
      </c>
      <c r="L75" s="130">
        <v>323.51612903225805</v>
      </c>
      <c r="M75" s="75">
        <v>6605.8935546875</v>
      </c>
      <c r="N75" s="75">
        <v>9415.4833984375</v>
      </c>
      <c r="O75" s="76"/>
      <c r="P75" s="77"/>
      <c r="Q75" s="77"/>
      <c r="R75" s="131"/>
      <c r="S75" s="48">
        <v>1</v>
      </c>
      <c r="T75" s="48">
        <v>1</v>
      </c>
      <c r="U75" s="49">
        <v>0</v>
      </c>
      <c r="V75" s="49">
        <v>0.0625</v>
      </c>
      <c r="W75" s="49">
        <v>0</v>
      </c>
      <c r="X75" s="49">
        <v>0.551251</v>
      </c>
      <c r="Y75" s="49">
        <v>0</v>
      </c>
      <c r="Z75" s="49">
        <v>1</v>
      </c>
      <c r="AA75" s="72">
        <v>75</v>
      </c>
      <c r="AB75" s="72"/>
      <c r="AC75" s="73"/>
      <c r="AD75" s="80" t="s">
        <v>980</v>
      </c>
      <c r="AE75" s="80"/>
      <c r="AF75" s="80"/>
      <c r="AG75" s="80"/>
      <c r="AH75" s="80"/>
      <c r="AI75" s="80"/>
      <c r="AJ75" s="84">
        <v>43787.32278935185</v>
      </c>
      <c r="AK75" s="82" t="str">
        <f>HYPERLINK("https://yt3.ggpht.com/a/AATXAJx4wizazkKKjJdfzRC1L_DqIMj7S4B-BnA9og=s88-c-k-c0xffffffff-no-rj-mo")</f>
        <v>https://yt3.ggpht.com/a/AATXAJx4wizazkKKjJdfzRC1L_DqIMj7S4B-BnA9og=s88-c-k-c0xffffffff-no-rj-mo</v>
      </c>
      <c r="AL75" s="80">
        <v>0</v>
      </c>
      <c r="AM75" s="80">
        <v>0</v>
      </c>
      <c r="AN75" s="80">
        <v>0</v>
      </c>
      <c r="AO75" s="80" t="b">
        <v>0</v>
      </c>
      <c r="AP75" s="80">
        <v>0</v>
      </c>
      <c r="AQ75" s="80"/>
      <c r="AR75" s="80"/>
      <c r="AS75" s="80" t="s">
        <v>230</v>
      </c>
      <c r="AT75" s="82" t="str">
        <f>HYPERLINK("https://www.youtube.com/channel/UCsnM-iHGWJ6wp5RMZbo2UJg")</f>
        <v>https://www.youtube.com/channel/UCsnM-iHGWJ6wp5RMZbo2UJg</v>
      </c>
      <c r="AU75" s="79" t="str">
        <f>REPLACE(INDEX(GroupVertices[Group],MATCH(Vertices[[#This Row],[Vertex]],GroupVertices[Vertex],0)),1,1,"")</f>
        <v>6</v>
      </c>
      <c r="AV75" s="48"/>
      <c r="AW75" s="49"/>
      <c r="AX75" s="48"/>
      <c r="AY75" s="49"/>
      <c r="AZ75" s="48"/>
      <c r="BA75" s="49"/>
      <c r="BB75" s="48"/>
      <c r="BC75" s="49"/>
      <c r="BD75" s="48"/>
      <c r="BE75" s="120" t="s">
        <v>408</v>
      </c>
      <c r="BF75" s="120" t="s">
        <v>408</v>
      </c>
      <c r="BG75" s="120" t="s">
        <v>408</v>
      </c>
      <c r="BH75" s="120" t="s">
        <v>408</v>
      </c>
      <c r="BI75" s="2"/>
      <c r="BJ75" s="3"/>
      <c r="BK75" s="3"/>
      <c r="BL75" s="3"/>
      <c r="BM75" s="3"/>
    </row>
    <row r="76" spans="1:65" ht="15">
      <c r="A76" s="65" t="s">
        <v>519</v>
      </c>
      <c r="B76" s="66"/>
      <c r="C76" s="66"/>
      <c r="D76" s="67">
        <v>466.6666666666667</v>
      </c>
      <c r="E76" s="127"/>
      <c r="F76" s="98" t="str">
        <f>HYPERLINK("https://yt3.ggpht.com/a/AATXAJwfPuPYUmJJeg6umCTwvc6VbvXNgJbtI3egUA=s88-c-k-c0xffffffff-no-rj-mo")</f>
        <v>https://yt3.ggpht.com/a/AATXAJwfPuPYUmJJeg6umCTwvc6VbvXNgJbtI3egUA=s88-c-k-c0xffffffff-no-rj-mo</v>
      </c>
      <c r="G76" s="128"/>
      <c r="H76" s="70" t="s">
        <v>981</v>
      </c>
      <c r="I76" s="71"/>
      <c r="J76" s="129"/>
      <c r="K76" s="70" t="s">
        <v>981</v>
      </c>
      <c r="L76" s="130">
        <v>323.51612903225805</v>
      </c>
      <c r="M76" s="75">
        <v>5802.34619140625</v>
      </c>
      <c r="N76" s="75">
        <v>7800.0146484375</v>
      </c>
      <c r="O76" s="76"/>
      <c r="P76" s="77"/>
      <c r="Q76" s="77"/>
      <c r="R76" s="131"/>
      <c r="S76" s="48">
        <v>1</v>
      </c>
      <c r="T76" s="48">
        <v>1</v>
      </c>
      <c r="U76" s="49">
        <v>0</v>
      </c>
      <c r="V76" s="49">
        <v>0.0625</v>
      </c>
      <c r="W76" s="49">
        <v>0</v>
      </c>
      <c r="X76" s="49">
        <v>0.551251</v>
      </c>
      <c r="Y76" s="49">
        <v>0</v>
      </c>
      <c r="Z76" s="49">
        <v>1</v>
      </c>
      <c r="AA76" s="72">
        <v>76</v>
      </c>
      <c r="AB76" s="72"/>
      <c r="AC76" s="73"/>
      <c r="AD76" s="80" t="s">
        <v>981</v>
      </c>
      <c r="AE76" s="80" t="s">
        <v>1347</v>
      </c>
      <c r="AF76" s="80"/>
      <c r="AG76" s="80"/>
      <c r="AH76" s="80"/>
      <c r="AI76" s="80"/>
      <c r="AJ76" s="84">
        <v>43509.87136574074</v>
      </c>
      <c r="AK76" s="82" t="str">
        <f>HYPERLINK("https://yt3.ggpht.com/a/AATXAJwfPuPYUmJJeg6umCTwvc6VbvXNgJbtI3egUA=s88-c-k-c0xffffffff-no-rj-mo")</f>
        <v>https://yt3.ggpht.com/a/AATXAJwfPuPYUmJJeg6umCTwvc6VbvXNgJbtI3egUA=s88-c-k-c0xffffffff-no-rj-mo</v>
      </c>
      <c r="AL76" s="80">
        <v>1753</v>
      </c>
      <c r="AM76" s="80">
        <v>0</v>
      </c>
      <c r="AN76" s="80">
        <v>151</v>
      </c>
      <c r="AO76" s="80" t="b">
        <v>0</v>
      </c>
      <c r="AP76" s="80">
        <v>25</v>
      </c>
      <c r="AQ76" s="80"/>
      <c r="AR76" s="80"/>
      <c r="AS76" s="80" t="s">
        <v>230</v>
      </c>
      <c r="AT76" s="82" t="str">
        <f>HYPERLINK("https://www.youtube.com/channel/UCsuE57N12Jj9RlPZeiTimrQ")</f>
        <v>https://www.youtube.com/channel/UCsuE57N12Jj9RlPZeiTimrQ</v>
      </c>
      <c r="AU76" s="79" t="str">
        <f>REPLACE(INDEX(GroupVertices[Group],MATCH(Vertices[[#This Row],[Vertex]],GroupVertices[Vertex],0)),1,1,"")</f>
        <v>6</v>
      </c>
      <c r="AV76" s="48">
        <v>0</v>
      </c>
      <c r="AW76" s="49">
        <v>0</v>
      </c>
      <c r="AX76" s="48">
        <v>0</v>
      </c>
      <c r="AY76" s="49">
        <v>0</v>
      </c>
      <c r="AZ76" s="48">
        <v>0</v>
      </c>
      <c r="BA76" s="49">
        <v>0</v>
      </c>
      <c r="BB76" s="48">
        <v>106</v>
      </c>
      <c r="BC76" s="49">
        <v>100</v>
      </c>
      <c r="BD76" s="48">
        <v>106</v>
      </c>
      <c r="BE76" s="120" t="s">
        <v>408</v>
      </c>
      <c r="BF76" s="120" t="s">
        <v>408</v>
      </c>
      <c r="BG76" s="120" t="s">
        <v>408</v>
      </c>
      <c r="BH76" s="120" t="s">
        <v>408</v>
      </c>
      <c r="BI76" s="2"/>
      <c r="BJ76" s="3"/>
      <c r="BK76" s="3"/>
      <c r="BL76" s="3"/>
      <c r="BM76" s="3"/>
    </row>
    <row r="77" spans="1:65" ht="15">
      <c r="A77" s="65" t="s">
        <v>520</v>
      </c>
      <c r="B77" s="66"/>
      <c r="C77" s="66"/>
      <c r="D77" s="67">
        <v>1000</v>
      </c>
      <c r="E77" s="127"/>
      <c r="F77" s="98" t="str">
        <f>HYPERLINK("https://yt3.ggpht.com/a/AATXAJyiLwFNcqen4Gr973ogccwe4TlI3R94Ie9OHA=s88-c-k-c0xffffffff-no-rj-mo")</f>
        <v>https://yt3.ggpht.com/a/AATXAJyiLwFNcqen4Gr973ogccwe4TlI3R94Ie9OHA=s88-c-k-c0xffffffff-no-rj-mo</v>
      </c>
      <c r="G77" s="128"/>
      <c r="H77" s="70" t="s">
        <v>982</v>
      </c>
      <c r="I77" s="71"/>
      <c r="J77" s="129"/>
      <c r="K77" s="70" t="s">
        <v>982</v>
      </c>
      <c r="L77" s="130">
        <v>1613.5806451612902</v>
      </c>
      <c r="M77" s="75">
        <v>7745.72705078125</v>
      </c>
      <c r="N77" s="75">
        <v>6600.32373046875</v>
      </c>
      <c r="O77" s="76"/>
      <c r="P77" s="77"/>
      <c r="Q77" s="77"/>
      <c r="R77" s="131"/>
      <c r="S77" s="48">
        <v>5</v>
      </c>
      <c r="T77" s="48">
        <v>5</v>
      </c>
      <c r="U77" s="49">
        <v>20</v>
      </c>
      <c r="V77" s="49">
        <v>0.2</v>
      </c>
      <c r="W77" s="49">
        <v>0</v>
      </c>
      <c r="X77" s="49">
        <v>2.601224</v>
      </c>
      <c r="Y77" s="49">
        <v>0</v>
      </c>
      <c r="Z77" s="49">
        <v>1</v>
      </c>
      <c r="AA77" s="72">
        <v>77</v>
      </c>
      <c r="AB77" s="72"/>
      <c r="AC77" s="73"/>
      <c r="AD77" s="80" t="s">
        <v>982</v>
      </c>
      <c r="AE77" s="80" t="s">
        <v>1348</v>
      </c>
      <c r="AF77" s="80"/>
      <c r="AG77" s="80"/>
      <c r="AH77" s="80"/>
      <c r="AI77" s="80" t="s">
        <v>1412</v>
      </c>
      <c r="AJ77" s="84">
        <v>40714.02342592592</v>
      </c>
      <c r="AK77" s="82" t="str">
        <f>HYPERLINK("https://yt3.ggpht.com/a/AATXAJyiLwFNcqen4Gr973ogccwe4TlI3R94Ie9OHA=s88-c-k-c0xffffffff-no-rj-mo")</f>
        <v>https://yt3.ggpht.com/a/AATXAJyiLwFNcqen4Gr973ogccwe4TlI3R94Ie9OHA=s88-c-k-c0xffffffff-no-rj-mo</v>
      </c>
      <c r="AL77" s="80">
        <v>103693</v>
      </c>
      <c r="AM77" s="80">
        <v>0</v>
      </c>
      <c r="AN77" s="80">
        <v>1780</v>
      </c>
      <c r="AO77" s="80" t="b">
        <v>0</v>
      </c>
      <c r="AP77" s="80">
        <v>45</v>
      </c>
      <c r="AQ77" s="80"/>
      <c r="AR77" s="80"/>
      <c r="AS77" s="80" t="s">
        <v>230</v>
      </c>
      <c r="AT77" s="82" t="str">
        <f>HYPERLINK("https://www.youtube.com/channel/UCvBYTqRx-n_8KzFO0MJlUVw")</f>
        <v>https://www.youtube.com/channel/UCvBYTqRx-n_8KzFO0MJlUVw</v>
      </c>
      <c r="AU77" s="79" t="str">
        <f>REPLACE(INDEX(GroupVertices[Group],MATCH(Vertices[[#This Row],[Vertex]],GroupVertices[Vertex],0)),1,1,"")</f>
        <v>10</v>
      </c>
      <c r="AV77" s="48">
        <v>7</v>
      </c>
      <c r="AW77" s="49">
        <v>5.833333333333333</v>
      </c>
      <c r="AX77" s="48">
        <v>0</v>
      </c>
      <c r="AY77" s="49">
        <v>0</v>
      </c>
      <c r="AZ77" s="48">
        <v>0</v>
      </c>
      <c r="BA77" s="49">
        <v>0</v>
      </c>
      <c r="BB77" s="48">
        <v>113</v>
      </c>
      <c r="BC77" s="49">
        <v>94.16666666666667</v>
      </c>
      <c r="BD77" s="48">
        <v>120</v>
      </c>
      <c r="BE77" s="120" t="s">
        <v>408</v>
      </c>
      <c r="BF77" s="120" t="s">
        <v>408</v>
      </c>
      <c r="BG77" s="120" t="s">
        <v>408</v>
      </c>
      <c r="BH77" s="120" t="s">
        <v>408</v>
      </c>
      <c r="BI77" s="2"/>
      <c r="BJ77" s="3"/>
      <c r="BK77" s="3"/>
      <c r="BL77" s="3"/>
      <c r="BM77" s="3"/>
    </row>
    <row r="78" spans="1:65" ht="15">
      <c r="A78" s="65" t="s">
        <v>521</v>
      </c>
      <c r="B78" s="66"/>
      <c r="C78" s="66"/>
      <c r="D78" s="67">
        <v>466.6666666666667</v>
      </c>
      <c r="E78" s="127"/>
      <c r="F78" s="98" t="str">
        <f>HYPERLINK("https://yt3.ggpht.com/a/AATXAJwVkedOLsIJ3VVUF5u2MNW2Azm1jJMTolvMyw=s88-c-k-c0xffffffff-no-rj-mo")</f>
        <v>https://yt3.ggpht.com/a/AATXAJwVkedOLsIJ3VVUF5u2MNW2Azm1jJMTolvMyw=s88-c-k-c0xffffffff-no-rj-mo</v>
      </c>
      <c r="G78" s="128"/>
      <c r="H78" s="70" t="s">
        <v>983</v>
      </c>
      <c r="I78" s="71"/>
      <c r="J78" s="129"/>
      <c r="K78" s="70" t="s">
        <v>983</v>
      </c>
      <c r="L78" s="130">
        <v>323.51612903225805</v>
      </c>
      <c r="M78" s="75">
        <v>7722.62353515625</v>
      </c>
      <c r="N78" s="75">
        <v>5639.931640625</v>
      </c>
      <c r="O78" s="76"/>
      <c r="P78" s="77"/>
      <c r="Q78" s="77"/>
      <c r="R78" s="131"/>
      <c r="S78" s="48">
        <v>1</v>
      </c>
      <c r="T78" s="48">
        <v>1</v>
      </c>
      <c r="U78" s="49">
        <v>0</v>
      </c>
      <c r="V78" s="49">
        <v>0.111111</v>
      </c>
      <c r="W78" s="49">
        <v>0</v>
      </c>
      <c r="X78" s="49">
        <v>0.592208</v>
      </c>
      <c r="Y78" s="49">
        <v>0</v>
      </c>
      <c r="Z78" s="49">
        <v>1</v>
      </c>
      <c r="AA78" s="72">
        <v>78</v>
      </c>
      <c r="AB78" s="72"/>
      <c r="AC78" s="73"/>
      <c r="AD78" s="80" t="s">
        <v>983</v>
      </c>
      <c r="AE78" s="80"/>
      <c r="AF78" s="80"/>
      <c r="AG78" s="80"/>
      <c r="AH78" s="80"/>
      <c r="AI78" s="80"/>
      <c r="AJ78" s="84">
        <v>40847.88866898148</v>
      </c>
      <c r="AK78" s="82" t="str">
        <f>HYPERLINK("https://yt3.ggpht.com/a/AATXAJwVkedOLsIJ3VVUF5u2MNW2Azm1jJMTolvMyw=s88-c-k-c0xffffffff-no-rj-mo")</f>
        <v>https://yt3.ggpht.com/a/AATXAJwVkedOLsIJ3VVUF5u2MNW2Azm1jJMTolvMyw=s88-c-k-c0xffffffff-no-rj-mo</v>
      </c>
      <c r="AL78" s="80">
        <v>2167</v>
      </c>
      <c r="AM78" s="80">
        <v>0</v>
      </c>
      <c r="AN78" s="80">
        <v>2</v>
      </c>
      <c r="AO78" s="80" t="b">
        <v>0</v>
      </c>
      <c r="AP78" s="80">
        <v>2</v>
      </c>
      <c r="AQ78" s="80"/>
      <c r="AR78" s="80"/>
      <c r="AS78" s="80" t="s">
        <v>230</v>
      </c>
      <c r="AT78" s="82" t="str">
        <f>HYPERLINK("https://www.youtube.com/channel/UCGOJ1SXRPs15Ou0r-xq090Q")</f>
        <v>https://www.youtube.com/channel/UCGOJ1SXRPs15Ou0r-xq090Q</v>
      </c>
      <c r="AU78" s="79" t="str">
        <f>REPLACE(INDEX(GroupVertices[Group],MATCH(Vertices[[#This Row],[Vertex]],GroupVertices[Vertex],0)),1,1,"")</f>
        <v>10</v>
      </c>
      <c r="AV78" s="48"/>
      <c r="AW78" s="49"/>
      <c r="AX78" s="48"/>
      <c r="AY78" s="49"/>
      <c r="AZ78" s="48"/>
      <c r="BA78" s="49"/>
      <c r="BB78" s="48"/>
      <c r="BC78" s="49"/>
      <c r="BD78" s="48"/>
      <c r="BE78" s="120" t="s">
        <v>408</v>
      </c>
      <c r="BF78" s="120" t="s">
        <v>408</v>
      </c>
      <c r="BG78" s="120" t="s">
        <v>408</v>
      </c>
      <c r="BH78" s="120" t="s">
        <v>408</v>
      </c>
      <c r="BI78" s="2"/>
      <c r="BJ78" s="3"/>
      <c r="BK78" s="3"/>
      <c r="BL78" s="3"/>
      <c r="BM78" s="3"/>
    </row>
    <row r="79" spans="1:65" ht="15">
      <c r="A79" s="65" t="s">
        <v>522</v>
      </c>
      <c r="B79" s="66"/>
      <c r="C79" s="66"/>
      <c r="D79" s="67">
        <v>466.6666666666667</v>
      </c>
      <c r="E79" s="127"/>
      <c r="F79" s="98" t="str">
        <f>HYPERLINK("https://yt3.ggpht.com/a/AATXAJzqyGjsr12HTmXy1GHm3oA69k0CoiEiPUHTmA=s88-c-k-c0xffffffff-no-rj-mo")</f>
        <v>https://yt3.ggpht.com/a/AATXAJzqyGjsr12HTmXy1GHm3oA69k0CoiEiPUHTmA=s88-c-k-c0xffffffff-no-rj-mo</v>
      </c>
      <c r="G79" s="128"/>
      <c r="H79" s="70" t="s">
        <v>984</v>
      </c>
      <c r="I79" s="71"/>
      <c r="J79" s="129"/>
      <c r="K79" s="70" t="s">
        <v>984</v>
      </c>
      <c r="L79" s="130">
        <v>323.51612903225805</v>
      </c>
      <c r="M79" s="75">
        <v>7353.53271484375</v>
      </c>
      <c r="N79" s="75">
        <v>7395.95458984375</v>
      </c>
      <c r="O79" s="76"/>
      <c r="P79" s="77"/>
      <c r="Q79" s="77"/>
      <c r="R79" s="131"/>
      <c r="S79" s="48">
        <v>1</v>
      </c>
      <c r="T79" s="48">
        <v>1</v>
      </c>
      <c r="U79" s="49">
        <v>0</v>
      </c>
      <c r="V79" s="49">
        <v>0.111111</v>
      </c>
      <c r="W79" s="49">
        <v>0</v>
      </c>
      <c r="X79" s="49">
        <v>0.592208</v>
      </c>
      <c r="Y79" s="49">
        <v>0</v>
      </c>
      <c r="Z79" s="49">
        <v>1</v>
      </c>
      <c r="AA79" s="72">
        <v>79</v>
      </c>
      <c r="AB79" s="72"/>
      <c r="AC79" s="73"/>
      <c r="AD79" s="80" t="s">
        <v>984</v>
      </c>
      <c r="AE79" s="80"/>
      <c r="AF79" s="80"/>
      <c r="AG79" s="80"/>
      <c r="AH79" s="80"/>
      <c r="AI79" s="80"/>
      <c r="AJ79" s="84">
        <v>38837.790613425925</v>
      </c>
      <c r="AK79" s="82" t="str">
        <f>HYPERLINK("https://yt3.ggpht.com/a/AATXAJzqyGjsr12HTmXy1GHm3oA69k0CoiEiPUHTmA=s88-c-k-c0xffffffff-no-rj-mo")</f>
        <v>https://yt3.ggpht.com/a/AATXAJzqyGjsr12HTmXy1GHm3oA69k0CoiEiPUHTmA=s88-c-k-c0xffffffff-no-rj-mo</v>
      </c>
      <c r="AL79" s="80">
        <v>0</v>
      </c>
      <c r="AM79" s="80">
        <v>0</v>
      </c>
      <c r="AN79" s="80">
        <v>2</v>
      </c>
      <c r="AO79" s="80" t="b">
        <v>0</v>
      </c>
      <c r="AP79" s="80">
        <v>0</v>
      </c>
      <c r="AQ79" s="80"/>
      <c r="AR79" s="80"/>
      <c r="AS79" s="80" t="s">
        <v>230</v>
      </c>
      <c r="AT79" s="82" t="str">
        <f>HYPERLINK("https://www.youtube.com/channel/UCLDJUM2GR2JWkszd0bBwPjg")</f>
        <v>https://www.youtube.com/channel/UCLDJUM2GR2JWkszd0bBwPjg</v>
      </c>
      <c r="AU79" s="79" t="str">
        <f>REPLACE(INDEX(GroupVertices[Group],MATCH(Vertices[[#This Row],[Vertex]],GroupVertices[Vertex],0)),1,1,"")</f>
        <v>10</v>
      </c>
      <c r="AV79" s="48"/>
      <c r="AW79" s="49"/>
      <c r="AX79" s="48"/>
      <c r="AY79" s="49"/>
      <c r="AZ79" s="48"/>
      <c r="BA79" s="49"/>
      <c r="BB79" s="48"/>
      <c r="BC79" s="49"/>
      <c r="BD79" s="48"/>
      <c r="BE79" s="120" t="s">
        <v>408</v>
      </c>
      <c r="BF79" s="120" t="s">
        <v>408</v>
      </c>
      <c r="BG79" s="120" t="s">
        <v>408</v>
      </c>
      <c r="BH79" s="120" t="s">
        <v>408</v>
      </c>
      <c r="BI79" s="2"/>
      <c r="BJ79" s="3"/>
      <c r="BK79" s="3"/>
      <c r="BL79" s="3"/>
      <c r="BM79" s="3"/>
    </row>
    <row r="80" spans="1:65" ht="15">
      <c r="A80" s="65" t="s">
        <v>523</v>
      </c>
      <c r="B80" s="66"/>
      <c r="C80" s="66"/>
      <c r="D80" s="67">
        <v>733.3333333333334</v>
      </c>
      <c r="E80" s="127"/>
      <c r="F80" s="98" t="str">
        <f>HYPERLINK("https://yt3.ggpht.com/a/AATXAJwokYnrwrDjmH5BlcPuA3BVahXvYUxgCX4C7pTZYA=s88-c-k-c0xffffffff-no-rj-mo")</f>
        <v>https://yt3.ggpht.com/a/AATXAJwokYnrwrDjmH5BlcPuA3BVahXvYUxgCX4C7pTZYA=s88-c-k-c0xffffffff-no-rj-mo</v>
      </c>
      <c r="G80" s="128"/>
      <c r="H80" s="70" t="s">
        <v>985</v>
      </c>
      <c r="I80" s="71"/>
      <c r="J80" s="129"/>
      <c r="K80" s="70" t="s">
        <v>985</v>
      </c>
      <c r="L80" s="130">
        <v>646.0322580645161</v>
      </c>
      <c r="M80" s="75">
        <v>8175.30419921875</v>
      </c>
      <c r="N80" s="75">
        <v>7358.640625</v>
      </c>
      <c r="O80" s="76"/>
      <c r="P80" s="77"/>
      <c r="Q80" s="77"/>
      <c r="R80" s="131"/>
      <c r="S80" s="48">
        <v>2</v>
      </c>
      <c r="T80" s="48">
        <v>2</v>
      </c>
      <c r="U80" s="49">
        <v>0</v>
      </c>
      <c r="V80" s="49">
        <v>0.111111</v>
      </c>
      <c r="W80" s="49">
        <v>0</v>
      </c>
      <c r="X80" s="49">
        <v>1.029926</v>
      </c>
      <c r="Y80" s="49">
        <v>0</v>
      </c>
      <c r="Z80" s="49">
        <v>1</v>
      </c>
      <c r="AA80" s="72">
        <v>80</v>
      </c>
      <c r="AB80" s="72"/>
      <c r="AC80" s="73"/>
      <c r="AD80" s="80" t="s">
        <v>985</v>
      </c>
      <c r="AE80" s="80"/>
      <c r="AF80" s="80"/>
      <c r="AG80" s="80"/>
      <c r="AH80" s="80"/>
      <c r="AI80" s="80"/>
      <c r="AJ80" s="84">
        <v>41539.91478009259</v>
      </c>
      <c r="AK80" s="82" t="str">
        <f>HYPERLINK("https://yt3.ggpht.com/a/AATXAJwokYnrwrDjmH5BlcPuA3BVahXvYUxgCX4C7pTZYA=s88-c-k-c0xffffffff-no-rj-mo")</f>
        <v>https://yt3.ggpht.com/a/AATXAJwokYnrwrDjmH5BlcPuA3BVahXvYUxgCX4C7pTZYA=s88-c-k-c0xffffffff-no-rj-mo</v>
      </c>
      <c r="AL80" s="80">
        <v>0</v>
      </c>
      <c r="AM80" s="80">
        <v>0</v>
      </c>
      <c r="AN80" s="80">
        <v>0</v>
      </c>
      <c r="AO80" s="80" t="b">
        <v>0</v>
      </c>
      <c r="AP80" s="80">
        <v>0</v>
      </c>
      <c r="AQ80" s="80"/>
      <c r="AR80" s="80"/>
      <c r="AS80" s="80" t="s">
        <v>230</v>
      </c>
      <c r="AT80" s="82" t="str">
        <f>HYPERLINK("https://www.youtube.com/channel/UCScJvW7xrPOLjE3rfXLrmuQ")</f>
        <v>https://www.youtube.com/channel/UCScJvW7xrPOLjE3rfXLrmuQ</v>
      </c>
      <c r="AU80" s="79" t="str">
        <f>REPLACE(INDEX(GroupVertices[Group],MATCH(Vertices[[#This Row],[Vertex]],GroupVertices[Vertex],0)),1,1,"")</f>
        <v>10</v>
      </c>
      <c r="AV80" s="48"/>
      <c r="AW80" s="49"/>
      <c r="AX80" s="48"/>
      <c r="AY80" s="49"/>
      <c r="AZ80" s="48"/>
      <c r="BA80" s="49"/>
      <c r="BB80" s="48"/>
      <c r="BC80" s="49"/>
      <c r="BD80" s="48"/>
      <c r="BE80" s="120" t="s">
        <v>408</v>
      </c>
      <c r="BF80" s="120" t="s">
        <v>408</v>
      </c>
      <c r="BG80" s="120" t="s">
        <v>408</v>
      </c>
      <c r="BH80" s="120" t="s">
        <v>408</v>
      </c>
      <c r="BI80" s="2"/>
      <c r="BJ80" s="3"/>
      <c r="BK80" s="3"/>
      <c r="BL80" s="3"/>
      <c r="BM80" s="3"/>
    </row>
    <row r="81" spans="1:65" ht="15">
      <c r="A81" s="65" t="s">
        <v>524</v>
      </c>
      <c r="B81" s="66"/>
      <c r="C81" s="66"/>
      <c r="D81" s="67">
        <v>466.6666666666667</v>
      </c>
      <c r="E81" s="127"/>
      <c r="F81" s="98" t="str">
        <f>HYPERLINK("https://yt3.ggpht.com/a/AATXAJyd1frxDpHFg837bqr9f2XL391ZThiDUvGWRg=s88-c-k-c0xffffffff-no-rj-mo")</f>
        <v>https://yt3.ggpht.com/a/AATXAJyd1frxDpHFg837bqr9f2XL391ZThiDUvGWRg=s88-c-k-c0xffffffff-no-rj-mo</v>
      </c>
      <c r="G81" s="128"/>
      <c r="H81" s="70" t="s">
        <v>986</v>
      </c>
      <c r="I81" s="71"/>
      <c r="J81" s="129"/>
      <c r="K81" s="70" t="s">
        <v>986</v>
      </c>
      <c r="L81" s="130">
        <v>323.51612903225805</v>
      </c>
      <c r="M81" s="75">
        <v>8403.4150390625</v>
      </c>
      <c r="N81" s="75">
        <v>6273.3583984375</v>
      </c>
      <c r="O81" s="76"/>
      <c r="P81" s="77"/>
      <c r="Q81" s="77"/>
      <c r="R81" s="131"/>
      <c r="S81" s="48">
        <v>1</v>
      </c>
      <c r="T81" s="48">
        <v>1</v>
      </c>
      <c r="U81" s="49">
        <v>0</v>
      </c>
      <c r="V81" s="49">
        <v>0.111111</v>
      </c>
      <c r="W81" s="49">
        <v>0</v>
      </c>
      <c r="X81" s="49">
        <v>0.592208</v>
      </c>
      <c r="Y81" s="49">
        <v>0</v>
      </c>
      <c r="Z81" s="49">
        <v>1</v>
      </c>
      <c r="AA81" s="72">
        <v>81</v>
      </c>
      <c r="AB81" s="72"/>
      <c r="AC81" s="73"/>
      <c r="AD81" s="80" t="s">
        <v>986</v>
      </c>
      <c r="AE81" s="80"/>
      <c r="AF81" s="80"/>
      <c r="AG81" s="80"/>
      <c r="AH81" s="80"/>
      <c r="AI81" s="80"/>
      <c r="AJ81" s="84">
        <v>42467.75436342593</v>
      </c>
      <c r="AK81" s="82" t="str">
        <f>HYPERLINK("https://yt3.ggpht.com/a/AATXAJyd1frxDpHFg837bqr9f2XL391ZThiDUvGWRg=s88-c-k-c0xffffffff-no-rj-mo")</f>
        <v>https://yt3.ggpht.com/a/AATXAJyd1frxDpHFg837bqr9f2XL391ZThiDUvGWRg=s88-c-k-c0xffffffff-no-rj-mo</v>
      </c>
      <c r="AL81" s="80">
        <v>0</v>
      </c>
      <c r="AM81" s="80">
        <v>0</v>
      </c>
      <c r="AN81" s="80">
        <v>0</v>
      </c>
      <c r="AO81" s="80" t="b">
        <v>0</v>
      </c>
      <c r="AP81" s="80">
        <v>0</v>
      </c>
      <c r="AQ81" s="80"/>
      <c r="AR81" s="80"/>
      <c r="AS81" s="80" t="s">
        <v>230</v>
      </c>
      <c r="AT81" s="82" t="str">
        <f>HYPERLINK("https://www.youtube.com/channel/UCuDgHPZiYSujLqwF3dz4BNw")</f>
        <v>https://www.youtube.com/channel/UCuDgHPZiYSujLqwF3dz4BNw</v>
      </c>
      <c r="AU81" s="79" t="str">
        <f>REPLACE(INDEX(GroupVertices[Group],MATCH(Vertices[[#This Row],[Vertex]],GroupVertices[Vertex],0)),1,1,"")</f>
        <v>10</v>
      </c>
      <c r="AV81" s="48"/>
      <c r="AW81" s="49"/>
      <c r="AX81" s="48"/>
      <c r="AY81" s="49"/>
      <c r="AZ81" s="48"/>
      <c r="BA81" s="49"/>
      <c r="BB81" s="48"/>
      <c r="BC81" s="49"/>
      <c r="BD81" s="48"/>
      <c r="BE81" s="120" t="s">
        <v>408</v>
      </c>
      <c r="BF81" s="120" t="s">
        <v>408</v>
      </c>
      <c r="BG81" s="120" t="s">
        <v>408</v>
      </c>
      <c r="BH81" s="120" t="s">
        <v>408</v>
      </c>
      <c r="BI81" s="2"/>
      <c r="BJ81" s="3"/>
      <c r="BK81" s="3"/>
      <c r="BL81" s="3"/>
      <c r="BM81" s="3"/>
    </row>
    <row r="82" spans="1:65" ht="15">
      <c r="A82" s="65" t="s">
        <v>525</v>
      </c>
      <c r="B82" s="66"/>
      <c r="C82" s="66"/>
      <c r="D82" s="67">
        <v>466.6666666666667</v>
      </c>
      <c r="E82" s="127"/>
      <c r="F82" s="98" t="str">
        <f>HYPERLINK("https://yt3.ggpht.com/a/AATXAJzD3Vfo6VvElY49bP1oGvnOgwSOr1YxhAXC1w=s88-c-k-c0xffffffff-no-rj-mo")</f>
        <v>https://yt3.ggpht.com/a/AATXAJzD3Vfo6VvElY49bP1oGvnOgwSOr1YxhAXC1w=s88-c-k-c0xffffffff-no-rj-mo</v>
      </c>
      <c r="G82" s="128"/>
      <c r="H82" s="70" t="s">
        <v>987</v>
      </c>
      <c r="I82" s="71"/>
      <c r="J82" s="129"/>
      <c r="K82" s="70" t="s">
        <v>987</v>
      </c>
      <c r="L82" s="130">
        <v>323.51612903225805</v>
      </c>
      <c r="M82" s="75">
        <v>7073.7607421875</v>
      </c>
      <c r="N82" s="75">
        <v>6333.734375</v>
      </c>
      <c r="O82" s="76"/>
      <c r="P82" s="77"/>
      <c r="Q82" s="77"/>
      <c r="R82" s="131"/>
      <c r="S82" s="48">
        <v>1</v>
      </c>
      <c r="T82" s="48">
        <v>1</v>
      </c>
      <c r="U82" s="49">
        <v>0</v>
      </c>
      <c r="V82" s="49">
        <v>0.111111</v>
      </c>
      <c r="W82" s="49">
        <v>0</v>
      </c>
      <c r="X82" s="49">
        <v>0.592208</v>
      </c>
      <c r="Y82" s="49">
        <v>0</v>
      </c>
      <c r="Z82" s="49">
        <v>1</v>
      </c>
      <c r="AA82" s="72">
        <v>82</v>
      </c>
      <c r="AB82" s="72"/>
      <c r="AC82" s="73"/>
      <c r="AD82" s="80" t="s">
        <v>987</v>
      </c>
      <c r="AE82" s="80"/>
      <c r="AF82" s="80"/>
      <c r="AG82" s="80"/>
      <c r="AH82" s="80"/>
      <c r="AI82" s="80"/>
      <c r="AJ82" s="84">
        <v>40075.97366898148</v>
      </c>
      <c r="AK82" s="82" t="str">
        <f>HYPERLINK("https://yt3.ggpht.com/a/AATXAJzD3Vfo6VvElY49bP1oGvnOgwSOr1YxhAXC1w=s88-c-k-c0xffffffff-no-rj-mo")</f>
        <v>https://yt3.ggpht.com/a/AATXAJzD3Vfo6VvElY49bP1oGvnOgwSOr1YxhAXC1w=s88-c-k-c0xffffffff-no-rj-mo</v>
      </c>
      <c r="AL82" s="80">
        <v>461407</v>
      </c>
      <c r="AM82" s="80">
        <v>0</v>
      </c>
      <c r="AN82" s="80">
        <v>3900</v>
      </c>
      <c r="AO82" s="80" t="b">
        <v>0</v>
      </c>
      <c r="AP82" s="80">
        <v>195</v>
      </c>
      <c r="AQ82" s="80"/>
      <c r="AR82" s="80"/>
      <c r="AS82" s="80" t="s">
        <v>230</v>
      </c>
      <c r="AT82" s="82" t="str">
        <f>HYPERLINK("https://www.youtube.com/channel/UC2v4TcvO4rdDdfqd6rUR5yg")</f>
        <v>https://www.youtube.com/channel/UC2v4TcvO4rdDdfqd6rUR5yg</v>
      </c>
      <c r="AU82" s="79" t="str">
        <f>REPLACE(INDEX(GroupVertices[Group],MATCH(Vertices[[#This Row],[Vertex]],GroupVertices[Vertex],0)),1,1,"")</f>
        <v>10</v>
      </c>
      <c r="AV82" s="48"/>
      <c r="AW82" s="49"/>
      <c r="AX82" s="48"/>
      <c r="AY82" s="49"/>
      <c r="AZ82" s="48"/>
      <c r="BA82" s="49"/>
      <c r="BB82" s="48"/>
      <c r="BC82" s="49"/>
      <c r="BD82" s="48"/>
      <c r="BE82" s="120" t="s">
        <v>408</v>
      </c>
      <c r="BF82" s="120" t="s">
        <v>408</v>
      </c>
      <c r="BG82" s="120" t="s">
        <v>408</v>
      </c>
      <c r="BH82" s="120" t="s">
        <v>408</v>
      </c>
      <c r="BI82" s="2"/>
      <c r="BJ82" s="3"/>
      <c r="BK82" s="3"/>
      <c r="BL82" s="3"/>
      <c r="BM82" s="3"/>
    </row>
    <row r="83" spans="1:65" ht="15">
      <c r="A83" s="65" t="s">
        <v>526</v>
      </c>
      <c r="B83" s="66"/>
      <c r="C83" s="66"/>
      <c r="D83" s="67">
        <v>466.6666666666667</v>
      </c>
      <c r="E83" s="127"/>
      <c r="F83" s="98" t="str">
        <f>HYPERLINK("https://yt3.ggpht.com/a/AATXAJxxhjkxBFOj1FLgSj6sCmC00behXmJz5s1k0Q=s88-c-k-c0xffffffff-no-rj-mo")</f>
        <v>https://yt3.ggpht.com/a/AATXAJxxhjkxBFOj1FLgSj6sCmC00behXmJz5s1k0Q=s88-c-k-c0xffffffff-no-rj-mo</v>
      </c>
      <c r="G83" s="128"/>
      <c r="H83" s="70" t="s">
        <v>988</v>
      </c>
      <c r="I83" s="71"/>
      <c r="J83" s="129"/>
      <c r="K83" s="70" t="s">
        <v>988</v>
      </c>
      <c r="L83" s="130">
        <v>323.51612903225805</v>
      </c>
      <c r="M83" s="75">
        <v>967.323486328125</v>
      </c>
      <c r="N83" s="75">
        <v>5111.6494140625</v>
      </c>
      <c r="O83" s="76"/>
      <c r="P83" s="77"/>
      <c r="Q83" s="77"/>
      <c r="R83" s="131"/>
      <c r="S83" s="48">
        <v>1</v>
      </c>
      <c r="T83" s="48">
        <v>1</v>
      </c>
      <c r="U83" s="49">
        <v>0</v>
      </c>
      <c r="V83" s="49">
        <v>0</v>
      </c>
      <c r="W83" s="49">
        <v>0</v>
      </c>
      <c r="X83" s="49">
        <v>0.999997</v>
      </c>
      <c r="Y83" s="49">
        <v>0</v>
      </c>
      <c r="Z83" s="49">
        <v>0</v>
      </c>
      <c r="AA83" s="72">
        <v>83</v>
      </c>
      <c r="AB83" s="72"/>
      <c r="AC83" s="73"/>
      <c r="AD83" s="80" t="s">
        <v>988</v>
      </c>
      <c r="AE83" s="80" t="s">
        <v>1349</v>
      </c>
      <c r="AF83" s="80"/>
      <c r="AG83" s="80"/>
      <c r="AH83" s="80"/>
      <c r="AI83" s="80" t="s">
        <v>1413</v>
      </c>
      <c r="AJ83" s="84">
        <v>41860.14320601852</v>
      </c>
      <c r="AK83" s="82" t="str">
        <f>HYPERLINK("https://yt3.ggpht.com/a/AATXAJxxhjkxBFOj1FLgSj6sCmC00behXmJz5s1k0Q=s88-c-k-c0xffffffff-no-rj-mo")</f>
        <v>https://yt3.ggpht.com/a/AATXAJxxhjkxBFOj1FLgSj6sCmC00behXmJz5s1k0Q=s88-c-k-c0xffffffff-no-rj-mo</v>
      </c>
      <c r="AL83" s="80">
        <v>1641367</v>
      </c>
      <c r="AM83" s="80">
        <v>0</v>
      </c>
      <c r="AN83" s="80">
        <v>11800</v>
      </c>
      <c r="AO83" s="80" t="b">
        <v>0</v>
      </c>
      <c r="AP83" s="80">
        <v>294</v>
      </c>
      <c r="AQ83" s="80"/>
      <c r="AR83" s="80"/>
      <c r="AS83" s="80" t="s">
        <v>230</v>
      </c>
      <c r="AT83" s="82" t="str">
        <f>HYPERLINK("https://www.youtube.com/channel/UChonIc52GnJLRxshFjUxrGA")</f>
        <v>https://www.youtube.com/channel/UChonIc52GnJLRxshFjUxrGA</v>
      </c>
      <c r="AU83" s="79" t="str">
        <f>REPLACE(INDEX(GroupVertices[Group],MATCH(Vertices[[#This Row],[Vertex]],GroupVertices[Vertex],0)),1,1,"")</f>
        <v>1</v>
      </c>
      <c r="AV83" s="48">
        <v>2</v>
      </c>
      <c r="AW83" s="49">
        <v>3.4482758620689653</v>
      </c>
      <c r="AX83" s="48">
        <v>0</v>
      </c>
      <c r="AY83" s="49">
        <v>0</v>
      </c>
      <c r="AZ83" s="48">
        <v>0</v>
      </c>
      <c r="BA83" s="49">
        <v>0</v>
      </c>
      <c r="BB83" s="48">
        <v>56</v>
      </c>
      <c r="BC83" s="49">
        <v>96.55172413793103</v>
      </c>
      <c r="BD83" s="48">
        <v>58</v>
      </c>
      <c r="BE83" s="120" t="s">
        <v>408</v>
      </c>
      <c r="BF83" s="120" t="s">
        <v>408</v>
      </c>
      <c r="BG83" s="120" t="s">
        <v>408</v>
      </c>
      <c r="BH83" s="120" t="s">
        <v>408</v>
      </c>
      <c r="BI83" s="2"/>
      <c r="BJ83" s="3"/>
      <c r="BK83" s="3"/>
      <c r="BL83" s="3"/>
      <c r="BM83" s="3"/>
    </row>
    <row r="84" spans="1:65" ht="15">
      <c r="A84" s="65" t="s">
        <v>527</v>
      </c>
      <c r="B84" s="66"/>
      <c r="C84" s="66"/>
      <c r="D84" s="67">
        <v>733.3333333333334</v>
      </c>
      <c r="E84" s="127"/>
      <c r="F84" s="98" t="str">
        <f>HYPERLINK("https://yt3.ggpht.com/a/AATXAJy5sQNB0BirJXqvm3xUFCPVbuXV-13XHk1aW6yE=s88-c-k-c0xffffffff-no-rj-mo")</f>
        <v>https://yt3.ggpht.com/a/AATXAJy5sQNB0BirJXqvm3xUFCPVbuXV-13XHk1aW6yE=s88-c-k-c0xffffffff-no-rj-mo</v>
      </c>
      <c r="G84" s="128"/>
      <c r="H84" s="70" t="s">
        <v>989</v>
      </c>
      <c r="I84" s="71"/>
      <c r="J84" s="129"/>
      <c r="K84" s="70" t="s">
        <v>989</v>
      </c>
      <c r="L84" s="130">
        <v>646.0322580645161</v>
      </c>
      <c r="M84" s="75">
        <v>9492.103515625</v>
      </c>
      <c r="N84" s="75">
        <v>4689.5859375</v>
      </c>
      <c r="O84" s="76"/>
      <c r="P84" s="77"/>
      <c r="Q84" s="77"/>
      <c r="R84" s="131"/>
      <c r="S84" s="48">
        <v>2</v>
      </c>
      <c r="T84" s="48">
        <v>2</v>
      </c>
      <c r="U84" s="49">
        <v>2</v>
      </c>
      <c r="V84" s="49">
        <v>0.5</v>
      </c>
      <c r="W84" s="49">
        <v>0</v>
      </c>
      <c r="X84" s="49">
        <v>1.459455</v>
      </c>
      <c r="Y84" s="49">
        <v>0</v>
      </c>
      <c r="Z84" s="49">
        <v>1</v>
      </c>
      <c r="AA84" s="72">
        <v>84</v>
      </c>
      <c r="AB84" s="72"/>
      <c r="AC84" s="73"/>
      <c r="AD84" s="80" t="s">
        <v>989</v>
      </c>
      <c r="AE84" s="80" t="s">
        <v>1350</v>
      </c>
      <c r="AF84" s="80"/>
      <c r="AG84" s="80"/>
      <c r="AH84" s="80"/>
      <c r="AI84" s="80"/>
      <c r="AJ84" s="84">
        <v>41158.016921296294</v>
      </c>
      <c r="AK84" s="82" t="str">
        <f>HYPERLINK("https://yt3.ggpht.com/a/AATXAJy5sQNB0BirJXqvm3xUFCPVbuXV-13XHk1aW6yE=s88-c-k-c0xffffffff-no-rj-mo")</f>
        <v>https://yt3.ggpht.com/a/AATXAJy5sQNB0BirJXqvm3xUFCPVbuXV-13XHk1aW6yE=s88-c-k-c0xffffffff-no-rj-mo</v>
      </c>
      <c r="AL84" s="80">
        <v>196842</v>
      </c>
      <c r="AM84" s="80">
        <v>0</v>
      </c>
      <c r="AN84" s="80">
        <v>4130</v>
      </c>
      <c r="AO84" s="80" t="b">
        <v>0</v>
      </c>
      <c r="AP84" s="80">
        <v>106</v>
      </c>
      <c r="AQ84" s="80"/>
      <c r="AR84" s="80"/>
      <c r="AS84" s="80" t="s">
        <v>230</v>
      </c>
      <c r="AT84" s="82" t="str">
        <f>HYPERLINK("https://www.youtube.com/channel/UCRQz5Rc4o6-DpSVjGBHSOcA")</f>
        <v>https://www.youtube.com/channel/UCRQz5Rc4o6-DpSVjGBHSOcA</v>
      </c>
      <c r="AU84" s="79" t="str">
        <f>REPLACE(INDEX(GroupVertices[Group],MATCH(Vertices[[#This Row],[Vertex]],GroupVertices[Vertex],0)),1,1,"")</f>
        <v>21</v>
      </c>
      <c r="AV84" s="48">
        <v>0</v>
      </c>
      <c r="AW84" s="49">
        <v>0</v>
      </c>
      <c r="AX84" s="48">
        <v>0</v>
      </c>
      <c r="AY84" s="49">
        <v>0</v>
      </c>
      <c r="AZ84" s="48">
        <v>0</v>
      </c>
      <c r="BA84" s="49">
        <v>0</v>
      </c>
      <c r="BB84" s="48">
        <v>56</v>
      </c>
      <c r="BC84" s="49">
        <v>100</v>
      </c>
      <c r="BD84" s="48">
        <v>56</v>
      </c>
      <c r="BE84" s="120" t="s">
        <v>408</v>
      </c>
      <c r="BF84" s="120" t="s">
        <v>408</v>
      </c>
      <c r="BG84" s="120" t="s">
        <v>408</v>
      </c>
      <c r="BH84" s="120" t="s">
        <v>408</v>
      </c>
      <c r="BI84" s="2"/>
      <c r="BJ84" s="3"/>
      <c r="BK84" s="3"/>
      <c r="BL84" s="3"/>
      <c r="BM84" s="3"/>
    </row>
    <row r="85" spans="1:65" ht="15">
      <c r="A85" s="65" t="s">
        <v>528</v>
      </c>
      <c r="B85" s="66"/>
      <c r="C85" s="66"/>
      <c r="D85" s="67">
        <v>466.6666666666667</v>
      </c>
      <c r="E85" s="127"/>
      <c r="F85" s="98" t="str">
        <f>HYPERLINK("https://yt3.ggpht.com/a/AATXAJw5bN0dzjsJoT7fpfrxNXbpVSGG8XhcVConHg=s88-c-k-c0xffffffff-no-rj-mo")</f>
        <v>https://yt3.ggpht.com/a/AATXAJw5bN0dzjsJoT7fpfrxNXbpVSGG8XhcVConHg=s88-c-k-c0xffffffff-no-rj-mo</v>
      </c>
      <c r="G85" s="128"/>
      <c r="H85" s="70" t="s">
        <v>990</v>
      </c>
      <c r="I85" s="71"/>
      <c r="J85" s="129"/>
      <c r="K85" s="70" t="s">
        <v>990</v>
      </c>
      <c r="L85" s="130">
        <v>323.51612903225805</v>
      </c>
      <c r="M85" s="75">
        <v>9161.3173828125</v>
      </c>
      <c r="N85" s="75">
        <v>5433.3408203125</v>
      </c>
      <c r="O85" s="76"/>
      <c r="P85" s="77"/>
      <c r="Q85" s="77"/>
      <c r="R85" s="131"/>
      <c r="S85" s="48">
        <v>1</v>
      </c>
      <c r="T85" s="48">
        <v>1</v>
      </c>
      <c r="U85" s="49">
        <v>0</v>
      </c>
      <c r="V85" s="49">
        <v>0.333333</v>
      </c>
      <c r="W85" s="49">
        <v>0</v>
      </c>
      <c r="X85" s="49">
        <v>0.770268</v>
      </c>
      <c r="Y85" s="49">
        <v>0</v>
      </c>
      <c r="Z85" s="49">
        <v>1</v>
      </c>
      <c r="AA85" s="72">
        <v>85</v>
      </c>
      <c r="AB85" s="72"/>
      <c r="AC85" s="73"/>
      <c r="AD85" s="80" t="s">
        <v>990</v>
      </c>
      <c r="AE85" s="80"/>
      <c r="AF85" s="80"/>
      <c r="AG85" s="80"/>
      <c r="AH85" s="80"/>
      <c r="AI85" s="80"/>
      <c r="AJ85" s="84">
        <v>41627.71532407407</v>
      </c>
      <c r="AK85" s="82" t="str">
        <f>HYPERLINK("https://yt3.ggpht.com/a/AATXAJw5bN0dzjsJoT7fpfrxNXbpVSGG8XhcVConHg=s88-c-k-c0xffffffff-no-rj-mo")</f>
        <v>https://yt3.ggpht.com/a/AATXAJw5bN0dzjsJoT7fpfrxNXbpVSGG8XhcVConHg=s88-c-k-c0xffffffff-no-rj-mo</v>
      </c>
      <c r="AL85" s="80">
        <v>293</v>
      </c>
      <c r="AM85" s="80">
        <v>0</v>
      </c>
      <c r="AN85" s="80">
        <v>6</v>
      </c>
      <c r="AO85" s="80" t="b">
        <v>0</v>
      </c>
      <c r="AP85" s="80">
        <v>4</v>
      </c>
      <c r="AQ85" s="80"/>
      <c r="AR85" s="80"/>
      <c r="AS85" s="80" t="s">
        <v>230</v>
      </c>
      <c r="AT85" s="82" t="str">
        <f>HYPERLINK("https://www.youtube.com/channel/UC9P2p-pAeQftnsYjscZeLVQ")</f>
        <v>https://www.youtube.com/channel/UC9P2p-pAeQftnsYjscZeLVQ</v>
      </c>
      <c r="AU85" s="79" t="str">
        <f>REPLACE(INDEX(GroupVertices[Group],MATCH(Vertices[[#This Row],[Vertex]],GroupVertices[Vertex],0)),1,1,"")</f>
        <v>21</v>
      </c>
      <c r="AV85" s="48"/>
      <c r="AW85" s="49"/>
      <c r="AX85" s="48"/>
      <c r="AY85" s="49"/>
      <c r="AZ85" s="48"/>
      <c r="BA85" s="49"/>
      <c r="BB85" s="48"/>
      <c r="BC85" s="49"/>
      <c r="BD85" s="48"/>
      <c r="BE85" s="120" t="s">
        <v>408</v>
      </c>
      <c r="BF85" s="120" t="s">
        <v>408</v>
      </c>
      <c r="BG85" s="120" t="s">
        <v>408</v>
      </c>
      <c r="BH85" s="120" t="s">
        <v>408</v>
      </c>
      <c r="BI85" s="2"/>
      <c r="BJ85" s="3"/>
      <c r="BK85" s="3"/>
      <c r="BL85" s="3"/>
      <c r="BM85" s="3"/>
    </row>
    <row r="86" spans="1:65" ht="15">
      <c r="A86" s="65" t="s">
        <v>529</v>
      </c>
      <c r="B86" s="66"/>
      <c r="C86" s="66"/>
      <c r="D86" s="67">
        <v>466.6666666666667</v>
      </c>
      <c r="E86" s="127"/>
      <c r="F86" s="98" t="str">
        <f>HYPERLINK("https://yt3.ggpht.com/a/AATXAJzwG3tmhUC0_RZ-RDBsfc8MvVhdaLF4IVNNWQ=s88-c-k-c0xffffffff-no-rj-mo")</f>
        <v>https://yt3.ggpht.com/a/AATXAJzwG3tmhUC0_RZ-RDBsfc8MvVhdaLF4IVNNWQ=s88-c-k-c0xffffffff-no-rj-mo</v>
      </c>
      <c r="G86" s="128"/>
      <c r="H86" s="70" t="s">
        <v>991</v>
      </c>
      <c r="I86" s="71"/>
      <c r="J86" s="129"/>
      <c r="K86" s="70" t="s">
        <v>991</v>
      </c>
      <c r="L86" s="130">
        <v>323.51612903225805</v>
      </c>
      <c r="M86" s="75">
        <v>9788.9150390625</v>
      </c>
      <c r="N86" s="75">
        <v>3945.886474609375</v>
      </c>
      <c r="O86" s="76"/>
      <c r="P86" s="77"/>
      <c r="Q86" s="77"/>
      <c r="R86" s="131"/>
      <c r="S86" s="48">
        <v>1</v>
      </c>
      <c r="T86" s="48">
        <v>1</v>
      </c>
      <c r="U86" s="49">
        <v>0</v>
      </c>
      <c r="V86" s="49">
        <v>0.333333</v>
      </c>
      <c r="W86" s="49">
        <v>0</v>
      </c>
      <c r="X86" s="49">
        <v>0.770268</v>
      </c>
      <c r="Y86" s="49">
        <v>0</v>
      </c>
      <c r="Z86" s="49">
        <v>1</v>
      </c>
      <c r="AA86" s="72">
        <v>86</v>
      </c>
      <c r="AB86" s="72"/>
      <c r="AC86" s="73"/>
      <c r="AD86" s="80" t="s">
        <v>991</v>
      </c>
      <c r="AE86" s="80"/>
      <c r="AF86" s="80"/>
      <c r="AG86" s="80"/>
      <c r="AH86" s="80"/>
      <c r="AI86" s="80"/>
      <c r="AJ86" s="84">
        <v>40984.60480324074</v>
      </c>
      <c r="AK86" s="82" t="str">
        <f>HYPERLINK("https://yt3.ggpht.com/a/AATXAJzwG3tmhUC0_RZ-RDBsfc8MvVhdaLF4IVNNWQ=s88-c-k-c0xffffffff-no-rj-mo")</f>
        <v>https://yt3.ggpht.com/a/AATXAJzwG3tmhUC0_RZ-RDBsfc8MvVhdaLF4IVNNWQ=s88-c-k-c0xffffffff-no-rj-mo</v>
      </c>
      <c r="AL86" s="80">
        <v>38</v>
      </c>
      <c r="AM86" s="80">
        <v>0</v>
      </c>
      <c r="AN86" s="80">
        <v>1</v>
      </c>
      <c r="AO86" s="80" t="b">
        <v>0</v>
      </c>
      <c r="AP86" s="80">
        <v>3</v>
      </c>
      <c r="AQ86" s="80"/>
      <c r="AR86" s="80"/>
      <c r="AS86" s="80" t="s">
        <v>230</v>
      </c>
      <c r="AT86" s="82" t="str">
        <f>HYPERLINK("https://www.youtube.com/channel/UC3S9R3RAVMfBQweaX5eBxag")</f>
        <v>https://www.youtube.com/channel/UC3S9R3RAVMfBQweaX5eBxag</v>
      </c>
      <c r="AU86" s="79" t="str">
        <f>REPLACE(INDEX(GroupVertices[Group],MATCH(Vertices[[#This Row],[Vertex]],GroupVertices[Vertex],0)),1,1,"")</f>
        <v>21</v>
      </c>
      <c r="AV86" s="48"/>
      <c r="AW86" s="49"/>
      <c r="AX86" s="48"/>
      <c r="AY86" s="49"/>
      <c r="AZ86" s="48"/>
      <c r="BA86" s="49"/>
      <c r="BB86" s="48"/>
      <c r="BC86" s="49"/>
      <c r="BD86" s="48"/>
      <c r="BE86" s="120" t="s">
        <v>408</v>
      </c>
      <c r="BF86" s="120" t="s">
        <v>408</v>
      </c>
      <c r="BG86" s="120" t="s">
        <v>408</v>
      </c>
      <c r="BH86" s="120" t="s">
        <v>408</v>
      </c>
      <c r="BI86" s="2"/>
      <c r="BJ86" s="3"/>
      <c r="BK86" s="3"/>
      <c r="BL86" s="3"/>
      <c r="BM86" s="3"/>
    </row>
    <row r="87" spans="1:65" ht="15">
      <c r="A87" s="65" t="s">
        <v>530</v>
      </c>
      <c r="B87" s="66"/>
      <c r="C87" s="66"/>
      <c r="D87" s="67">
        <v>1000</v>
      </c>
      <c r="E87" s="127"/>
      <c r="F87" s="98" t="str">
        <f>HYPERLINK("https://yt3.ggpht.com/a/AATXAJzsmI36EIO2bXvgTS6g4lB9DLqsrELm_B9M0w=s88-c-k-c0xffffffff-no-rj-mo")</f>
        <v>https://yt3.ggpht.com/a/AATXAJzsmI36EIO2bXvgTS6g4lB9DLqsrELm_B9M0w=s88-c-k-c0xffffffff-no-rj-mo</v>
      </c>
      <c r="G87" s="128"/>
      <c r="H87" s="70" t="s">
        <v>992</v>
      </c>
      <c r="I87" s="71"/>
      <c r="J87" s="129"/>
      <c r="K87" s="70" t="s">
        <v>992</v>
      </c>
      <c r="L87" s="130">
        <v>968.5483870967741</v>
      </c>
      <c r="M87" s="75">
        <v>6145.39404296875</v>
      </c>
      <c r="N87" s="75">
        <v>968.29150390625</v>
      </c>
      <c r="O87" s="76"/>
      <c r="P87" s="77"/>
      <c r="Q87" s="77"/>
      <c r="R87" s="131"/>
      <c r="S87" s="48">
        <v>3</v>
      </c>
      <c r="T87" s="48">
        <v>3</v>
      </c>
      <c r="U87" s="49">
        <v>6</v>
      </c>
      <c r="V87" s="49">
        <v>0.333333</v>
      </c>
      <c r="W87" s="49">
        <v>0</v>
      </c>
      <c r="X87" s="49">
        <v>1.669945</v>
      </c>
      <c r="Y87" s="49">
        <v>0</v>
      </c>
      <c r="Z87" s="49">
        <v>1</v>
      </c>
      <c r="AA87" s="72">
        <v>87</v>
      </c>
      <c r="AB87" s="72"/>
      <c r="AC87" s="73"/>
      <c r="AD87" s="80" t="s">
        <v>992</v>
      </c>
      <c r="AE87" s="80" t="s">
        <v>1351</v>
      </c>
      <c r="AF87" s="80"/>
      <c r="AG87" s="80"/>
      <c r="AH87" s="80"/>
      <c r="AI87" s="80" t="s">
        <v>1414</v>
      </c>
      <c r="AJ87" s="84">
        <v>43669.578356481485</v>
      </c>
      <c r="AK87" s="82" t="str">
        <f>HYPERLINK("https://yt3.ggpht.com/a/AATXAJzsmI36EIO2bXvgTS6g4lB9DLqsrELm_B9M0w=s88-c-k-c0xffffffff-no-rj-mo")</f>
        <v>https://yt3.ggpht.com/a/AATXAJzsmI36EIO2bXvgTS6g4lB9DLqsrELm_B9M0w=s88-c-k-c0xffffffff-no-rj-mo</v>
      </c>
      <c r="AL87" s="80">
        <v>2520</v>
      </c>
      <c r="AM87" s="80">
        <v>0</v>
      </c>
      <c r="AN87" s="80">
        <v>141</v>
      </c>
      <c r="AO87" s="80" t="b">
        <v>0</v>
      </c>
      <c r="AP87" s="80">
        <v>33</v>
      </c>
      <c r="AQ87" s="80"/>
      <c r="AR87" s="80"/>
      <c r="AS87" s="80" t="s">
        <v>230</v>
      </c>
      <c r="AT87" s="82" t="str">
        <f>HYPERLINK("https://www.youtube.com/channel/UCAg-ddg4ptqzTP8mu4NlLSA")</f>
        <v>https://www.youtube.com/channel/UCAg-ddg4ptqzTP8mu4NlLSA</v>
      </c>
      <c r="AU87" s="79" t="str">
        <f>REPLACE(INDEX(GroupVertices[Group],MATCH(Vertices[[#This Row],[Vertex]],GroupVertices[Vertex],0)),1,1,"")</f>
        <v>16</v>
      </c>
      <c r="AV87" s="48">
        <v>0</v>
      </c>
      <c r="AW87" s="49">
        <v>0</v>
      </c>
      <c r="AX87" s="48">
        <v>0</v>
      </c>
      <c r="AY87" s="49">
        <v>0</v>
      </c>
      <c r="AZ87" s="48">
        <v>0</v>
      </c>
      <c r="BA87" s="49">
        <v>0</v>
      </c>
      <c r="BB87" s="48">
        <v>64</v>
      </c>
      <c r="BC87" s="49">
        <v>100</v>
      </c>
      <c r="BD87" s="48">
        <v>64</v>
      </c>
      <c r="BE87" s="120" t="s">
        <v>408</v>
      </c>
      <c r="BF87" s="120" t="s">
        <v>408</v>
      </c>
      <c r="BG87" s="120" t="s">
        <v>408</v>
      </c>
      <c r="BH87" s="120" t="s">
        <v>408</v>
      </c>
      <c r="BI87" s="2"/>
      <c r="BJ87" s="3"/>
      <c r="BK87" s="3"/>
      <c r="BL87" s="3"/>
      <c r="BM87" s="3"/>
    </row>
    <row r="88" spans="1:65" ht="15">
      <c r="A88" s="65" t="s">
        <v>531</v>
      </c>
      <c r="B88" s="66"/>
      <c r="C88" s="66"/>
      <c r="D88" s="67">
        <v>466.6666666666667</v>
      </c>
      <c r="E88" s="127"/>
      <c r="F88" s="98" t="str">
        <f>HYPERLINK("https://yt3.ggpht.com/a/AATXAJwpVZKt9FcX7gYQDNzck8AVbabCQD9AtjoM9A=s88-c-k-c0xffffffff-no-rj-mo")</f>
        <v>https://yt3.ggpht.com/a/AATXAJwpVZKt9FcX7gYQDNzck8AVbabCQD9AtjoM9A=s88-c-k-c0xffffffff-no-rj-mo</v>
      </c>
      <c r="G88" s="128"/>
      <c r="H88" s="70" t="s">
        <v>993</v>
      </c>
      <c r="I88" s="71"/>
      <c r="J88" s="129"/>
      <c r="K88" s="70" t="s">
        <v>993</v>
      </c>
      <c r="L88" s="130">
        <v>323.51612903225805</v>
      </c>
      <c r="M88" s="75">
        <v>6043.80419921875</v>
      </c>
      <c r="N88" s="75">
        <v>326.41339111328125</v>
      </c>
      <c r="O88" s="76"/>
      <c r="P88" s="77"/>
      <c r="Q88" s="77"/>
      <c r="R88" s="131"/>
      <c r="S88" s="48">
        <v>1</v>
      </c>
      <c r="T88" s="48">
        <v>1</v>
      </c>
      <c r="U88" s="49">
        <v>0</v>
      </c>
      <c r="V88" s="49">
        <v>0.2</v>
      </c>
      <c r="W88" s="49">
        <v>0</v>
      </c>
      <c r="X88" s="49">
        <v>0.623151</v>
      </c>
      <c r="Y88" s="49">
        <v>0</v>
      </c>
      <c r="Z88" s="49">
        <v>1</v>
      </c>
      <c r="AA88" s="72">
        <v>88</v>
      </c>
      <c r="AB88" s="72"/>
      <c r="AC88" s="73"/>
      <c r="AD88" s="80" t="s">
        <v>993</v>
      </c>
      <c r="AE88" s="80"/>
      <c r="AF88" s="80"/>
      <c r="AG88" s="80"/>
      <c r="AH88" s="80"/>
      <c r="AI88" s="80"/>
      <c r="AJ88" s="84">
        <v>40949.926840277774</v>
      </c>
      <c r="AK88" s="82" t="str">
        <f>HYPERLINK("https://yt3.ggpht.com/a/AATXAJwpVZKt9FcX7gYQDNzck8AVbabCQD9AtjoM9A=s88-c-k-c0xffffffff-no-rj-mo")</f>
        <v>https://yt3.ggpht.com/a/AATXAJwpVZKt9FcX7gYQDNzck8AVbabCQD9AtjoM9A=s88-c-k-c0xffffffff-no-rj-mo</v>
      </c>
      <c r="AL88" s="80">
        <v>0</v>
      </c>
      <c r="AM88" s="80">
        <v>0</v>
      </c>
      <c r="AN88" s="80">
        <v>1</v>
      </c>
      <c r="AO88" s="80" t="b">
        <v>0</v>
      </c>
      <c r="AP88" s="80">
        <v>0</v>
      </c>
      <c r="AQ88" s="80"/>
      <c r="AR88" s="80"/>
      <c r="AS88" s="80" t="s">
        <v>230</v>
      </c>
      <c r="AT88" s="82" t="str">
        <f>HYPERLINK("https://www.youtube.com/channel/UC5LyETPCxuEaYPmti9mTzuw")</f>
        <v>https://www.youtube.com/channel/UC5LyETPCxuEaYPmti9mTzuw</v>
      </c>
      <c r="AU88" s="79" t="str">
        <f>REPLACE(INDEX(GroupVertices[Group],MATCH(Vertices[[#This Row],[Vertex]],GroupVertices[Vertex],0)),1,1,"")</f>
        <v>16</v>
      </c>
      <c r="AV88" s="48"/>
      <c r="AW88" s="49"/>
      <c r="AX88" s="48"/>
      <c r="AY88" s="49"/>
      <c r="AZ88" s="48"/>
      <c r="BA88" s="49"/>
      <c r="BB88" s="48"/>
      <c r="BC88" s="49"/>
      <c r="BD88" s="48"/>
      <c r="BE88" s="120" t="s">
        <v>408</v>
      </c>
      <c r="BF88" s="120" t="s">
        <v>408</v>
      </c>
      <c r="BG88" s="120" t="s">
        <v>408</v>
      </c>
      <c r="BH88" s="120" t="s">
        <v>408</v>
      </c>
      <c r="BI88" s="2"/>
      <c r="BJ88" s="3"/>
      <c r="BK88" s="3"/>
      <c r="BL88" s="3"/>
      <c r="BM88" s="3"/>
    </row>
    <row r="89" spans="1:65" ht="15">
      <c r="A89" s="65" t="s">
        <v>532</v>
      </c>
      <c r="B89" s="66"/>
      <c r="C89" s="66"/>
      <c r="D89" s="67">
        <v>466.6666666666667</v>
      </c>
      <c r="E89" s="127"/>
      <c r="F89" s="98" t="str">
        <f>HYPERLINK("https://yt3.ggpht.com/a/AATXAJzUJdTU5BNAB0qp41PFkd6UVTFx3p9y0oivAw=s88-c-k-c0xffffffff-no-rj-mo")</f>
        <v>https://yt3.ggpht.com/a/AATXAJzUJdTU5BNAB0qp41PFkd6UVTFx3p9y0oivAw=s88-c-k-c0xffffffff-no-rj-mo</v>
      </c>
      <c r="G89" s="128"/>
      <c r="H89" s="70" t="s">
        <v>994</v>
      </c>
      <c r="I89" s="71"/>
      <c r="J89" s="129"/>
      <c r="K89" s="70" t="s">
        <v>994</v>
      </c>
      <c r="L89" s="130">
        <v>323.51612903225805</v>
      </c>
      <c r="M89" s="75">
        <v>5597.84423828125</v>
      </c>
      <c r="N89" s="75">
        <v>1446.1363525390625</v>
      </c>
      <c r="O89" s="76"/>
      <c r="P89" s="77"/>
      <c r="Q89" s="77"/>
      <c r="R89" s="131"/>
      <c r="S89" s="48">
        <v>1</v>
      </c>
      <c r="T89" s="48">
        <v>1</v>
      </c>
      <c r="U89" s="49">
        <v>0</v>
      </c>
      <c r="V89" s="49">
        <v>0.2</v>
      </c>
      <c r="W89" s="49">
        <v>0</v>
      </c>
      <c r="X89" s="49">
        <v>0.623151</v>
      </c>
      <c r="Y89" s="49">
        <v>0</v>
      </c>
      <c r="Z89" s="49">
        <v>1</v>
      </c>
      <c r="AA89" s="72">
        <v>89</v>
      </c>
      <c r="AB89" s="72"/>
      <c r="AC89" s="73"/>
      <c r="AD89" s="80" t="s">
        <v>994</v>
      </c>
      <c r="AE89" s="80"/>
      <c r="AF89" s="80"/>
      <c r="AG89" s="80"/>
      <c r="AH89" s="80"/>
      <c r="AI89" s="80"/>
      <c r="AJ89" s="84">
        <v>40451.29849537037</v>
      </c>
      <c r="AK89" s="82" t="str">
        <f>HYPERLINK("https://yt3.ggpht.com/a/AATXAJzUJdTU5BNAB0qp41PFkd6UVTFx3p9y0oivAw=s88-c-k-c0xffffffff-no-rj-mo")</f>
        <v>https://yt3.ggpht.com/a/AATXAJzUJdTU5BNAB0qp41PFkd6UVTFx3p9y0oivAw=s88-c-k-c0xffffffff-no-rj-mo</v>
      </c>
      <c r="AL89" s="80">
        <v>0</v>
      </c>
      <c r="AM89" s="80">
        <v>0</v>
      </c>
      <c r="AN89" s="80">
        <v>0</v>
      </c>
      <c r="AO89" s="80" t="b">
        <v>0</v>
      </c>
      <c r="AP89" s="80">
        <v>0</v>
      </c>
      <c r="AQ89" s="80"/>
      <c r="AR89" s="80"/>
      <c r="AS89" s="80" t="s">
        <v>230</v>
      </c>
      <c r="AT89" s="82" t="str">
        <f>HYPERLINK("https://www.youtube.com/channel/UC9RZiT46dtS22LEl-PBEuxg")</f>
        <v>https://www.youtube.com/channel/UC9RZiT46dtS22LEl-PBEuxg</v>
      </c>
      <c r="AU89" s="79" t="str">
        <f>REPLACE(INDEX(GroupVertices[Group],MATCH(Vertices[[#This Row],[Vertex]],GroupVertices[Vertex],0)),1,1,"")</f>
        <v>16</v>
      </c>
      <c r="AV89" s="48"/>
      <c r="AW89" s="49"/>
      <c r="AX89" s="48"/>
      <c r="AY89" s="49"/>
      <c r="AZ89" s="48"/>
      <c r="BA89" s="49"/>
      <c r="BB89" s="48"/>
      <c r="BC89" s="49"/>
      <c r="BD89" s="48"/>
      <c r="BE89" s="120" t="s">
        <v>408</v>
      </c>
      <c r="BF89" s="120" t="s">
        <v>408</v>
      </c>
      <c r="BG89" s="120" t="s">
        <v>408</v>
      </c>
      <c r="BH89" s="120" t="s">
        <v>408</v>
      </c>
      <c r="BI89" s="2"/>
      <c r="BJ89" s="3"/>
      <c r="BK89" s="3"/>
      <c r="BL89" s="3"/>
      <c r="BM89" s="3"/>
    </row>
    <row r="90" spans="1:65" ht="15">
      <c r="A90" s="65" t="s">
        <v>533</v>
      </c>
      <c r="B90" s="66"/>
      <c r="C90" s="66"/>
      <c r="D90" s="67">
        <v>733.3333333333334</v>
      </c>
      <c r="E90" s="127"/>
      <c r="F90" s="98" t="str">
        <f>HYPERLINK("https://yt3.ggpht.com/a/AATXAJxx6CGQzKgv4vPRoaBB4f38YHSCz699cwCyxA=s88-c-k-c0xffffffff-no-rj-mo")</f>
        <v>https://yt3.ggpht.com/a/AATXAJxx6CGQzKgv4vPRoaBB4f38YHSCz699cwCyxA=s88-c-k-c0xffffffff-no-rj-mo</v>
      </c>
      <c r="G90" s="128"/>
      <c r="H90" s="70" t="s">
        <v>995</v>
      </c>
      <c r="I90" s="71"/>
      <c r="J90" s="129"/>
      <c r="K90" s="70" t="s">
        <v>995</v>
      </c>
      <c r="L90" s="130">
        <v>646.0322580645161</v>
      </c>
      <c r="M90" s="75">
        <v>6794.533203125</v>
      </c>
      <c r="N90" s="75">
        <v>1252.1484375</v>
      </c>
      <c r="O90" s="76"/>
      <c r="P90" s="77"/>
      <c r="Q90" s="77"/>
      <c r="R90" s="131"/>
      <c r="S90" s="48">
        <v>2</v>
      </c>
      <c r="T90" s="48">
        <v>2</v>
      </c>
      <c r="U90" s="49">
        <v>0</v>
      </c>
      <c r="V90" s="49">
        <v>0.2</v>
      </c>
      <c r="W90" s="49">
        <v>0</v>
      </c>
      <c r="X90" s="49">
        <v>1.08374</v>
      </c>
      <c r="Y90" s="49">
        <v>0</v>
      </c>
      <c r="Z90" s="49">
        <v>1</v>
      </c>
      <c r="AA90" s="72">
        <v>90</v>
      </c>
      <c r="AB90" s="72"/>
      <c r="AC90" s="73"/>
      <c r="AD90" s="80" t="s">
        <v>995</v>
      </c>
      <c r="AE90" s="80" t="s">
        <v>1352</v>
      </c>
      <c r="AF90" s="80"/>
      <c r="AG90" s="80"/>
      <c r="AH90" s="80"/>
      <c r="AI90" s="80" t="s">
        <v>1415</v>
      </c>
      <c r="AJ90" s="84">
        <v>39643.854537037034</v>
      </c>
      <c r="AK90" s="82" t="str">
        <f>HYPERLINK("https://yt3.ggpht.com/a/AATXAJxx6CGQzKgv4vPRoaBB4f38YHSCz699cwCyxA=s88-c-k-c0xffffffff-no-rj-mo")</f>
        <v>https://yt3.ggpht.com/a/AATXAJxx6CGQzKgv4vPRoaBB4f38YHSCz699cwCyxA=s88-c-k-c0xffffffff-no-rj-mo</v>
      </c>
      <c r="AL90" s="80">
        <v>82447</v>
      </c>
      <c r="AM90" s="80">
        <v>0</v>
      </c>
      <c r="AN90" s="80">
        <v>402</v>
      </c>
      <c r="AO90" s="80" t="b">
        <v>0</v>
      </c>
      <c r="AP90" s="80">
        <v>69</v>
      </c>
      <c r="AQ90" s="80"/>
      <c r="AR90" s="80"/>
      <c r="AS90" s="80" t="s">
        <v>230</v>
      </c>
      <c r="AT90" s="82" t="str">
        <f>HYPERLINK("https://www.youtube.com/channel/UC2szASdBgFczKNTFiKYUCIA")</f>
        <v>https://www.youtube.com/channel/UC2szASdBgFczKNTFiKYUCIA</v>
      </c>
      <c r="AU90" s="79" t="str">
        <f>REPLACE(INDEX(GroupVertices[Group],MATCH(Vertices[[#This Row],[Vertex]],GroupVertices[Vertex],0)),1,1,"")</f>
        <v>16</v>
      </c>
      <c r="AV90" s="48">
        <v>0</v>
      </c>
      <c r="AW90" s="49">
        <v>0</v>
      </c>
      <c r="AX90" s="48">
        <v>0</v>
      </c>
      <c r="AY90" s="49">
        <v>0</v>
      </c>
      <c r="AZ90" s="48">
        <v>0</v>
      </c>
      <c r="BA90" s="49">
        <v>0</v>
      </c>
      <c r="BB90" s="48">
        <v>26</v>
      </c>
      <c r="BC90" s="49">
        <v>100</v>
      </c>
      <c r="BD90" s="48">
        <v>26</v>
      </c>
      <c r="BE90" s="120" t="s">
        <v>408</v>
      </c>
      <c r="BF90" s="120" t="s">
        <v>408</v>
      </c>
      <c r="BG90" s="120" t="s">
        <v>408</v>
      </c>
      <c r="BH90" s="120" t="s">
        <v>408</v>
      </c>
      <c r="BI90" s="2"/>
      <c r="BJ90" s="3"/>
      <c r="BK90" s="3"/>
      <c r="BL90" s="3"/>
      <c r="BM90" s="3"/>
    </row>
    <row r="91" spans="1:65" ht="15">
      <c r="A91" s="65" t="s">
        <v>534</v>
      </c>
      <c r="B91" s="66"/>
      <c r="C91" s="66"/>
      <c r="D91" s="67">
        <v>200</v>
      </c>
      <c r="E91" s="127"/>
      <c r="F91" s="98" t="str">
        <f>HYPERLINK("https://yt3.ggpht.com/a/AATXAJwd9tCjlXQfWcB-53T9ga-53u5a9Fh26nwDxw=s88-c-k-c0xffffffff-no-rj-mo")</f>
        <v>https://yt3.ggpht.com/a/AATXAJwd9tCjlXQfWcB-53T9ga-53u5a9Fh26nwDxw=s88-c-k-c0xffffffff-no-rj-mo</v>
      </c>
      <c r="G91" s="128"/>
      <c r="H91" s="70" t="s">
        <v>996</v>
      </c>
      <c r="I91" s="71"/>
      <c r="J91" s="129"/>
      <c r="K91" s="70" t="s">
        <v>996</v>
      </c>
      <c r="L91" s="130">
        <v>1</v>
      </c>
      <c r="M91" s="75">
        <v>5464.87890625</v>
      </c>
      <c r="N91" s="75">
        <v>5020.1591796875</v>
      </c>
      <c r="O91" s="76"/>
      <c r="P91" s="77"/>
      <c r="Q91" s="77"/>
      <c r="R91" s="131"/>
      <c r="S91" s="48">
        <v>0</v>
      </c>
      <c r="T91" s="48">
        <v>1</v>
      </c>
      <c r="U91" s="49">
        <v>0</v>
      </c>
      <c r="V91" s="49">
        <v>0.035714</v>
      </c>
      <c r="W91" s="49">
        <v>0</v>
      </c>
      <c r="X91" s="49">
        <v>0.607427</v>
      </c>
      <c r="Y91" s="49">
        <v>0</v>
      </c>
      <c r="Z91" s="49">
        <v>0</v>
      </c>
      <c r="AA91" s="72">
        <v>91</v>
      </c>
      <c r="AB91" s="72"/>
      <c r="AC91" s="73"/>
      <c r="AD91" s="80" t="s">
        <v>996</v>
      </c>
      <c r="AE91" s="80"/>
      <c r="AF91" s="80"/>
      <c r="AG91" s="80"/>
      <c r="AH91" s="80"/>
      <c r="AI91" s="80"/>
      <c r="AJ91" s="84">
        <v>39908.987337962964</v>
      </c>
      <c r="AK91" s="82" t="str">
        <f>HYPERLINK("https://yt3.ggpht.com/a/AATXAJwd9tCjlXQfWcB-53T9ga-53u5a9Fh26nwDxw=s88-c-k-c0xffffffff-no-rj-mo")</f>
        <v>https://yt3.ggpht.com/a/AATXAJwd9tCjlXQfWcB-53T9ga-53u5a9Fh26nwDxw=s88-c-k-c0xffffffff-no-rj-mo</v>
      </c>
      <c r="AL91" s="80">
        <v>2329</v>
      </c>
      <c r="AM91" s="80">
        <v>0</v>
      </c>
      <c r="AN91" s="80">
        <v>8</v>
      </c>
      <c r="AO91" s="80" t="b">
        <v>0</v>
      </c>
      <c r="AP91" s="80">
        <v>4</v>
      </c>
      <c r="AQ91" s="80"/>
      <c r="AR91" s="80"/>
      <c r="AS91" s="80" t="s">
        <v>230</v>
      </c>
      <c r="AT91" s="82" t="str">
        <f>HYPERLINK("https://www.youtube.com/channel/UCvlosdhTvUWZ89TcnFHvofg")</f>
        <v>https://www.youtube.com/channel/UCvlosdhTvUWZ89TcnFHvofg</v>
      </c>
      <c r="AU91" s="79" t="str">
        <f>REPLACE(INDEX(GroupVertices[Group],MATCH(Vertices[[#This Row],[Vertex]],GroupVertices[Vertex],0)),1,1,"")</f>
        <v>4</v>
      </c>
      <c r="AV91" s="48"/>
      <c r="AW91" s="49"/>
      <c r="AX91" s="48"/>
      <c r="AY91" s="49"/>
      <c r="AZ91" s="48"/>
      <c r="BA91" s="49"/>
      <c r="BB91" s="48"/>
      <c r="BC91" s="49"/>
      <c r="BD91" s="48"/>
      <c r="BE91" s="120" t="s">
        <v>408</v>
      </c>
      <c r="BF91" s="120" t="s">
        <v>408</v>
      </c>
      <c r="BG91" s="120" t="s">
        <v>408</v>
      </c>
      <c r="BH91" s="120" t="s">
        <v>408</v>
      </c>
      <c r="BI91" s="2"/>
      <c r="BJ91" s="3"/>
      <c r="BK91" s="3"/>
      <c r="BL91" s="3"/>
      <c r="BM91" s="3"/>
    </row>
    <row r="92" spans="1:65" ht="15">
      <c r="A92" s="65" t="s">
        <v>535</v>
      </c>
      <c r="B92" s="66"/>
      <c r="C92" s="66"/>
      <c r="D92" s="67">
        <v>466.6666666666667</v>
      </c>
      <c r="E92" s="127"/>
      <c r="F92" s="98" t="str">
        <f>HYPERLINK("https://yt3.ggpht.com/a/AATXAJyKHIZGmFW30V3Ys9-Y7E_CaSVOGsWHUTfb-A=s88-c-k-c0xffffffff-no-rj-mo")</f>
        <v>https://yt3.ggpht.com/a/AATXAJyKHIZGmFW30V3Ys9-Y7E_CaSVOGsWHUTfb-A=s88-c-k-c0xffffffff-no-rj-mo</v>
      </c>
      <c r="G92" s="128"/>
      <c r="H92" s="70" t="s">
        <v>997</v>
      </c>
      <c r="I92" s="71"/>
      <c r="J92" s="129"/>
      <c r="K92" s="70" t="s">
        <v>997</v>
      </c>
      <c r="L92" s="130">
        <v>323.51612903225805</v>
      </c>
      <c r="M92" s="75">
        <v>4959.67822265625</v>
      </c>
      <c r="N92" s="75">
        <v>4502.5556640625</v>
      </c>
      <c r="O92" s="76"/>
      <c r="P92" s="77"/>
      <c r="Q92" s="77"/>
      <c r="R92" s="131"/>
      <c r="S92" s="48">
        <v>1</v>
      </c>
      <c r="T92" s="48">
        <v>1</v>
      </c>
      <c r="U92" s="49">
        <v>18</v>
      </c>
      <c r="V92" s="49">
        <v>0.052632</v>
      </c>
      <c r="W92" s="49">
        <v>0</v>
      </c>
      <c r="X92" s="49">
        <v>1.076299</v>
      </c>
      <c r="Y92" s="49">
        <v>0</v>
      </c>
      <c r="Z92" s="49">
        <v>0</v>
      </c>
      <c r="AA92" s="72">
        <v>92</v>
      </c>
      <c r="AB92" s="72"/>
      <c r="AC92" s="73"/>
      <c r="AD92" s="80" t="s">
        <v>997</v>
      </c>
      <c r="AE92" s="80"/>
      <c r="AF92" s="80"/>
      <c r="AG92" s="80"/>
      <c r="AH92" s="80"/>
      <c r="AI92" s="80"/>
      <c r="AJ92" s="84">
        <v>42717.71011574074</v>
      </c>
      <c r="AK92" s="82" t="str">
        <f>HYPERLINK("https://yt3.ggpht.com/a/AATXAJyKHIZGmFW30V3Ys9-Y7E_CaSVOGsWHUTfb-A=s88-c-k-c0xffffffff-no-rj-mo")</f>
        <v>https://yt3.ggpht.com/a/AATXAJyKHIZGmFW30V3Ys9-Y7E_CaSVOGsWHUTfb-A=s88-c-k-c0xffffffff-no-rj-mo</v>
      </c>
      <c r="AL92" s="80">
        <v>0</v>
      </c>
      <c r="AM92" s="80">
        <v>0</v>
      </c>
      <c r="AN92" s="80">
        <v>1</v>
      </c>
      <c r="AO92" s="80" t="b">
        <v>0</v>
      </c>
      <c r="AP92" s="80">
        <v>1</v>
      </c>
      <c r="AQ92" s="80"/>
      <c r="AR92" s="80"/>
      <c r="AS92" s="80" t="s">
        <v>230</v>
      </c>
      <c r="AT92" s="82" t="str">
        <f>HYPERLINK("https://www.youtube.com/channel/UC2ZbM5tCkoPwS1LezjwBSmw")</f>
        <v>https://www.youtube.com/channel/UC2ZbM5tCkoPwS1LezjwBSmw</v>
      </c>
      <c r="AU92" s="79" t="str">
        <f>REPLACE(INDEX(GroupVertices[Group],MATCH(Vertices[[#This Row],[Vertex]],GroupVertices[Vertex],0)),1,1,"")</f>
        <v>4</v>
      </c>
      <c r="AV92" s="48"/>
      <c r="AW92" s="49"/>
      <c r="AX92" s="48"/>
      <c r="AY92" s="49"/>
      <c r="AZ92" s="48"/>
      <c r="BA92" s="49"/>
      <c r="BB92" s="48"/>
      <c r="BC92" s="49"/>
      <c r="BD92" s="48"/>
      <c r="BE92" s="120" t="s">
        <v>408</v>
      </c>
      <c r="BF92" s="120" t="s">
        <v>408</v>
      </c>
      <c r="BG92" s="120" t="s">
        <v>408</v>
      </c>
      <c r="BH92" s="120" t="s">
        <v>408</v>
      </c>
      <c r="BI92" s="2"/>
      <c r="BJ92" s="3"/>
      <c r="BK92" s="3"/>
      <c r="BL92" s="3"/>
      <c r="BM92" s="3"/>
    </row>
    <row r="93" spans="1:65" ht="15">
      <c r="A93" s="65" t="s">
        <v>537</v>
      </c>
      <c r="B93" s="66"/>
      <c r="C93" s="66"/>
      <c r="D93" s="67">
        <v>1000</v>
      </c>
      <c r="E93" s="127"/>
      <c r="F93" s="98" t="str">
        <f>HYPERLINK("https://yt3.ggpht.com/a/AATXAJwOiuey358-MuTuDDx8mtbj2B0hcW0PdFvqjQ=s88-c-k-c0xffffffff-no-rj-mo")</f>
        <v>https://yt3.ggpht.com/a/AATXAJwOiuey358-MuTuDDx8mtbj2B0hcW0PdFvqjQ=s88-c-k-c0xffffffff-no-rj-mo</v>
      </c>
      <c r="G93" s="128"/>
      <c r="H93" s="70" t="s">
        <v>999</v>
      </c>
      <c r="I93" s="71"/>
      <c r="J93" s="129"/>
      <c r="K93" s="70" t="s">
        <v>999</v>
      </c>
      <c r="L93" s="130">
        <v>2581.1290322580644</v>
      </c>
      <c r="M93" s="75">
        <v>4365.078125</v>
      </c>
      <c r="N93" s="75">
        <v>3946.928466796875</v>
      </c>
      <c r="O93" s="76"/>
      <c r="P93" s="77"/>
      <c r="Q93" s="77"/>
      <c r="R93" s="131"/>
      <c r="S93" s="48">
        <v>8</v>
      </c>
      <c r="T93" s="48">
        <v>7</v>
      </c>
      <c r="U93" s="49">
        <v>86</v>
      </c>
      <c r="V93" s="49">
        <v>0.083333</v>
      </c>
      <c r="W93" s="49">
        <v>0</v>
      </c>
      <c r="X93" s="49">
        <v>3.858696</v>
      </c>
      <c r="Y93" s="49">
        <v>0</v>
      </c>
      <c r="Z93" s="49">
        <v>0.875</v>
      </c>
      <c r="AA93" s="72">
        <v>93</v>
      </c>
      <c r="AB93" s="72"/>
      <c r="AC93" s="73"/>
      <c r="AD93" s="80" t="s">
        <v>999</v>
      </c>
      <c r="AE93" s="80" t="s">
        <v>1353</v>
      </c>
      <c r="AF93" s="80"/>
      <c r="AG93" s="80"/>
      <c r="AH93" s="80"/>
      <c r="AI93" s="80" t="s">
        <v>1416</v>
      </c>
      <c r="AJ93" s="84">
        <v>40233.2478125</v>
      </c>
      <c r="AK93" s="82" t="str">
        <f>HYPERLINK("https://yt3.ggpht.com/a/AATXAJwOiuey358-MuTuDDx8mtbj2B0hcW0PdFvqjQ=s88-c-k-c0xffffffff-no-rj-mo")</f>
        <v>https://yt3.ggpht.com/a/AATXAJwOiuey358-MuTuDDx8mtbj2B0hcW0PdFvqjQ=s88-c-k-c0xffffffff-no-rj-mo</v>
      </c>
      <c r="AL93" s="80">
        <v>24448350</v>
      </c>
      <c r="AM93" s="80">
        <v>0</v>
      </c>
      <c r="AN93" s="80">
        <v>266000</v>
      </c>
      <c r="AO93" s="80" t="b">
        <v>0</v>
      </c>
      <c r="AP93" s="80">
        <v>220</v>
      </c>
      <c r="AQ93" s="80"/>
      <c r="AR93" s="80"/>
      <c r="AS93" s="80" t="s">
        <v>230</v>
      </c>
      <c r="AT93" s="82" t="str">
        <f>HYPERLINK("https://www.youtube.com/channel/UCSxX7Vgyu9iThxPE1jSDFdw")</f>
        <v>https://www.youtube.com/channel/UCSxX7Vgyu9iThxPE1jSDFdw</v>
      </c>
      <c r="AU93" s="79" t="str">
        <f>REPLACE(INDEX(GroupVertices[Group],MATCH(Vertices[[#This Row],[Vertex]],GroupVertices[Vertex],0)),1,1,"")</f>
        <v>4</v>
      </c>
      <c r="AV93" s="48">
        <v>8</v>
      </c>
      <c r="AW93" s="49">
        <v>7.766990291262136</v>
      </c>
      <c r="AX93" s="48">
        <v>1</v>
      </c>
      <c r="AY93" s="49">
        <v>0.970873786407767</v>
      </c>
      <c r="AZ93" s="48">
        <v>0</v>
      </c>
      <c r="BA93" s="49">
        <v>0</v>
      </c>
      <c r="BB93" s="48">
        <v>94</v>
      </c>
      <c r="BC93" s="49">
        <v>91.2621359223301</v>
      </c>
      <c r="BD93" s="48">
        <v>103</v>
      </c>
      <c r="BE93" s="120" t="s">
        <v>408</v>
      </c>
      <c r="BF93" s="120" t="s">
        <v>408</v>
      </c>
      <c r="BG93" s="120" t="s">
        <v>408</v>
      </c>
      <c r="BH93" s="120" t="s">
        <v>408</v>
      </c>
      <c r="BI93" s="2"/>
      <c r="BJ93" s="3"/>
      <c r="BK93" s="3"/>
      <c r="BL93" s="3"/>
      <c r="BM93" s="3"/>
    </row>
    <row r="94" spans="1:65" ht="15">
      <c r="A94" s="65" t="s">
        <v>536</v>
      </c>
      <c r="B94" s="66"/>
      <c r="C94" s="66"/>
      <c r="D94" s="67">
        <v>200</v>
      </c>
      <c r="E94" s="127"/>
      <c r="F94" s="98" t="str">
        <f>HYPERLINK("https://yt3.ggpht.com/a/AATXAJyaQtXf7CzFjlqr6sCoYbJeZJp5Z-JdxQ1QyQ=s88-c-k-c0xffffffff-no-rj-mo")</f>
        <v>https://yt3.ggpht.com/a/AATXAJyaQtXf7CzFjlqr6sCoYbJeZJp5Z-JdxQ1QyQ=s88-c-k-c0xffffffff-no-rj-mo</v>
      </c>
      <c r="G94" s="128"/>
      <c r="H94" s="70" t="s">
        <v>998</v>
      </c>
      <c r="I94" s="71"/>
      <c r="J94" s="129"/>
      <c r="K94" s="70" t="s">
        <v>998</v>
      </c>
      <c r="L94" s="130">
        <v>1</v>
      </c>
      <c r="M94" s="75">
        <v>5122.45263671875</v>
      </c>
      <c r="N94" s="75">
        <v>2603.04541015625</v>
      </c>
      <c r="O94" s="76"/>
      <c r="P94" s="77"/>
      <c r="Q94" s="77"/>
      <c r="R94" s="131"/>
      <c r="S94" s="48">
        <v>0</v>
      </c>
      <c r="T94" s="48">
        <v>1</v>
      </c>
      <c r="U94" s="49">
        <v>0</v>
      </c>
      <c r="V94" s="49">
        <v>0.035714</v>
      </c>
      <c r="W94" s="49">
        <v>0</v>
      </c>
      <c r="X94" s="49">
        <v>0.607427</v>
      </c>
      <c r="Y94" s="49">
        <v>0</v>
      </c>
      <c r="Z94" s="49">
        <v>0</v>
      </c>
      <c r="AA94" s="72">
        <v>94</v>
      </c>
      <c r="AB94" s="72"/>
      <c r="AC94" s="73"/>
      <c r="AD94" s="80" t="s">
        <v>998</v>
      </c>
      <c r="AE94" s="80"/>
      <c r="AF94" s="80"/>
      <c r="AG94" s="80"/>
      <c r="AH94" s="80"/>
      <c r="AI94" s="80"/>
      <c r="AJ94" s="84">
        <v>43812.61775462963</v>
      </c>
      <c r="AK94" s="82" t="str">
        <f>HYPERLINK("https://yt3.ggpht.com/a/AATXAJyaQtXf7CzFjlqr6sCoYbJeZJp5Z-JdxQ1QyQ=s88-c-k-c0xffffffff-no-rj-mo")</f>
        <v>https://yt3.ggpht.com/a/AATXAJyaQtXf7CzFjlqr6sCoYbJeZJp5Z-JdxQ1QyQ=s88-c-k-c0xffffffff-no-rj-mo</v>
      </c>
      <c r="AL94" s="80">
        <v>0</v>
      </c>
      <c r="AM94" s="80">
        <v>0</v>
      </c>
      <c r="AN94" s="80">
        <v>0</v>
      </c>
      <c r="AO94" s="80" t="b">
        <v>0</v>
      </c>
      <c r="AP94" s="80">
        <v>0</v>
      </c>
      <c r="AQ94" s="80"/>
      <c r="AR94" s="80"/>
      <c r="AS94" s="80" t="s">
        <v>230</v>
      </c>
      <c r="AT94" s="82" t="str">
        <f>HYPERLINK("https://www.youtube.com/channel/UC05MrtGm6lSEgw7U-oZu3DQ")</f>
        <v>https://www.youtube.com/channel/UC05MrtGm6lSEgw7U-oZu3DQ</v>
      </c>
      <c r="AU94" s="79" t="str">
        <f>REPLACE(INDEX(GroupVertices[Group],MATCH(Vertices[[#This Row],[Vertex]],GroupVertices[Vertex],0)),1,1,"")</f>
        <v>4</v>
      </c>
      <c r="AV94" s="48"/>
      <c r="AW94" s="49"/>
      <c r="AX94" s="48"/>
      <c r="AY94" s="49"/>
      <c r="AZ94" s="48"/>
      <c r="BA94" s="49"/>
      <c r="BB94" s="48"/>
      <c r="BC94" s="49"/>
      <c r="BD94" s="48"/>
      <c r="BE94" s="120" t="s">
        <v>408</v>
      </c>
      <c r="BF94" s="120" t="s">
        <v>408</v>
      </c>
      <c r="BG94" s="120" t="s">
        <v>408</v>
      </c>
      <c r="BH94" s="120" t="s">
        <v>408</v>
      </c>
      <c r="BI94" s="2"/>
      <c r="BJ94" s="3"/>
      <c r="BK94" s="3"/>
      <c r="BL94" s="3"/>
      <c r="BM94" s="3"/>
    </row>
    <row r="95" spans="1:65" ht="15">
      <c r="A95" s="65" t="s">
        <v>538</v>
      </c>
      <c r="B95" s="66"/>
      <c r="C95" s="66"/>
      <c r="D95" s="67">
        <v>733.3333333333334</v>
      </c>
      <c r="E95" s="127"/>
      <c r="F95" s="98" t="str">
        <f>HYPERLINK("https://yt3.ggpht.com/a/AATXAJw-WF0nOE6T9Hgi_ON_XWtoZmrYUiVdGgfQuA=s88-c-k-c0xffffffff-no-rj-mo")</f>
        <v>https://yt3.ggpht.com/a/AATXAJw-WF0nOE6T9Hgi_ON_XWtoZmrYUiVdGgfQuA=s88-c-k-c0xffffffff-no-rj-mo</v>
      </c>
      <c r="G95" s="128"/>
      <c r="H95" s="70" t="s">
        <v>1000</v>
      </c>
      <c r="I95" s="71"/>
      <c r="J95" s="129"/>
      <c r="K95" s="70" t="s">
        <v>1000</v>
      </c>
      <c r="L95" s="130">
        <v>646.0322580645161</v>
      </c>
      <c r="M95" s="75">
        <v>4781.38330078125</v>
      </c>
      <c r="N95" s="75">
        <v>3243.98046875</v>
      </c>
      <c r="O95" s="76"/>
      <c r="P95" s="77"/>
      <c r="Q95" s="77"/>
      <c r="R95" s="131"/>
      <c r="S95" s="48">
        <v>2</v>
      </c>
      <c r="T95" s="48">
        <v>1</v>
      </c>
      <c r="U95" s="49">
        <v>18</v>
      </c>
      <c r="V95" s="49">
        <v>0.052632</v>
      </c>
      <c r="W95" s="49">
        <v>0</v>
      </c>
      <c r="X95" s="49">
        <v>1.076299</v>
      </c>
      <c r="Y95" s="49">
        <v>0</v>
      </c>
      <c r="Z95" s="49">
        <v>0.5</v>
      </c>
      <c r="AA95" s="72">
        <v>95</v>
      </c>
      <c r="AB95" s="72"/>
      <c r="AC95" s="73"/>
      <c r="AD95" s="80" t="s">
        <v>1000</v>
      </c>
      <c r="AE95" s="80"/>
      <c r="AF95" s="80"/>
      <c r="AG95" s="80"/>
      <c r="AH95" s="80"/>
      <c r="AI95" s="80"/>
      <c r="AJ95" s="84">
        <v>41576.42165509259</v>
      </c>
      <c r="AK95" s="82" t="str">
        <f>HYPERLINK("https://yt3.ggpht.com/a/AATXAJw-WF0nOE6T9Hgi_ON_XWtoZmrYUiVdGgfQuA=s88-c-k-c0xffffffff-no-rj-mo")</f>
        <v>https://yt3.ggpht.com/a/AATXAJw-WF0nOE6T9Hgi_ON_XWtoZmrYUiVdGgfQuA=s88-c-k-c0xffffffff-no-rj-mo</v>
      </c>
      <c r="AL95" s="80">
        <v>0</v>
      </c>
      <c r="AM95" s="80">
        <v>0</v>
      </c>
      <c r="AN95" s="80">
        <v>0</v>
      </c>
      <c r="AO95" s="80" t="b">
        <v>0</v>
      </c>
      <c r="AP95" s="80">
        <v>0</v>
      </c>
      <c r="AQ95" s="80"/>
      <c r="AR95" s="80"/>
      <c r="AS95" s="80" t="s">
        <v>230</v>
      </c>
      <c r="AT95" s="82" t="str">
        <f>HYPERLINK("https://www.youtube.com/channel/UCO_FTEu2uUhHWtga98GFnbg")</f>
        <v>https://www.youtube.com/channel/UCO_FTEu2uUhHWtga98GFnbg</v>
      </c>
      <c r="AU95" s="79" t="str">
        <f>REPLACE(INDEX(GroupVertices[Group],MATCH(Vertices[[#This Row],[Vertex]],GroupVertices[Vertex],0)),1,1,"")</f>
        <v>4</v>
      </c>
      <c r="AV95" s="48"/>
      <c r="AW95" s="49"/>
      <c r="AX95" s="48"/>
      <c r="AY95" s="49"/>
      <c r="AZ95" s="48"/>
      <c r="BA95" s="49"/>
      <c r="BB95" s="48"/>
      <c r="BC95" s="49"/>
      <c r="BD95" s="48"/>
      <c r="BE95" s="120" t="s">
        <v>408</v>
      </c>
      <c r="BF95" s="120" t="s">
        <v>408</v>
      </c>
      <c r="BG95" s="120" t="s">
        <v>408</v>
      </c>
      <c r="BH95" s="120" t="s">
        <v>408</v>
      </c>
      <c r="BI95" s="2"/>
      <c r="BJ95" s="3"/>
      <c r="BK95" s="3"/>
      <c r="BL95" s="3"/>
      <c r="BM95" s="3"/>
    </row>
    <row r="96" spans="1:65" ht="15">
      <c r="A96" s="65" t="s">
        <v>539</v>
      </c>
      <c r="B96" s="66"/>
      <c r="C96" s="66"/>
      <c r="D96" s="67">
        <v>466.6666666666667</v>
      </c>
      <c r="E96" s="127"/>
      <c r="F96" s="98" t="str">
        <f>HYPERLINK("https://yt3.ggpht.com/a/AATXAJyo7tx5S4NiItzK3ffX3aNc3BlqeuBXI-hC8g=s88-c-k-c0xffffffff-no-rj-mo")</f>
        <v>https://yt3.ggpht.com/a/AATXAJyo7tx5S4NiItzK3ffX3aNc3BlqeuBXI-hC8g=s88-c-k-c0xffffffff-no-rj-mo</v>
      </c>
      <c r="G96" s="128"/>
      <c r="H96" s="70" t="s">
        <v>1001</v>
      </c>
      <c r="I96" s="71"/>
      <c r="J96" s="129"/>
      <c r="K96" s="70" t="s">
        <v>1001</v>
      </c>
      <c r="L96" s="130">
        <v>323.51612903225805</v>
      </c>
      <c r="M96" s="75">
        <v>3824.24267578125</v>
      </c>
      <c r="N96" s="75">
        <v>4531.275390625</v>
      </c>
      <c r="O96" s="76"/>
      <c r="P96" s="77"/>
      <c r="Q96" s="77"/>
      <c r="R96" s="131"/>
      <c r="S96" s="48">
        <v>1</v>
      </c>
      <c r="T96" s="48">
        <v>1</v>
      </c>
      <c r="U96" s="49">
        <v>0</v>
      </c>
      <c r="V96" s="49">
        <v>0.047619</v>
      </c>
      <c r="W96" s="49">
        <v>0</v>
      </c>
      <c r="X96" s="49">
        <v>0.559986</v>
      </c>
      <c r="Y96" s="49">
        <v>0</v>
      </c>
      <c r="Z96" s="49">
        <v>1</v>
      </c>
      <c r="AA96" s="72">
        <v>96</v>
      </c>
      <c r="AB96" s="72"/>
      <c r="AC96" s="73"/>
      <c r="AD96" s="80" t="s">
        <v>1001</v>
      </c>
      <c r="AE96" s="80"/>
      <c r="AF96" s="80"/>
      <c r="AG96" s="80"/>
      <c r="AH96" s="80"/>
      <c r="AI96" s="80"/>
      <c r="AJ96" s="84">
        <v>40798.46319444444</v>
      </c>
      <c r="AK96" s="82" t="str">
        <f>HYPERLINK("https://yt3.ggpht.com/a/AATXAJyo7tx5S4NiItzK3ffX3aNc3BlqeuBXI-hC8g=s88-c-k-c0xffffffff-no-rj-mo")</f>
        <v>https://yt3.ggpht.com/a/AATXAJyo7tx5S4NiItzK3ffX3aNc3BlqeuBXI-hC8g=s88-c-k-c0xffffffff-no-rj-mo</v>
      </c>
      <c r="AL96" s="80">
        <v>0</v>
      </c>
      <c r="AM96" s="80">
        <v>0</v>
      </c>
      <c r="AN96" s="80">
        <v>0</v>
      </c>
      <c r="AO96" s="80" t="b">
        <v>0</v>
      </c>
      <c r="AP96" s="80">
        <v>0</v>
      </c>
      <c r="AQ96" s="80"/>
      <c r="AR96" s="80"/>
      <c r="AS96" s="80" t="s">
        <v>230</v>
      </c>
      <c r="AT96" s="82" t="str">
        <f>HYPERLINK("https://www.youtube.com/channel/UCBO0DGXXeS7TTpvsOJ2VMKA")</f>
        <v>https://www.youtube.com/channel/UCBO0DGXXeS7TTpvsOJ2VMKA</v>
      </c>
      <c r="AU96" s="79" t="str">
        <f>REPLACE(INDEX(GroupVertices[Group],MATCH(Vertices[[#This Row],[Vertex]],GroupVertices[Vertex],0)),1,1,"")</f>
        <v>4</v>
      </c>
      <c r="AV96" s="48"/>
      <c r="AW96" s="49"/>
      <c r="AX96" s="48"/>
      <c r="AY96" s="49"/>
      <c r="AZ96" s="48"/>
      <c r="BA96" s="49"/>
      <c r="BB96" s="48"/>
      <c r="BC96" s="49"/>
      <c r="BD96" s="48"/>
      <c r="BE96" s="120" t="s">
        <v>408</v>
      </c>
      <c r="BF96" s="120" t="s">
        <v>408</v>
      </c>
      <c r="BG96" s="120" t="s">
        <v>408</v>
      </c>
      <c r="BH96" s="120" t="s">
        <v>408</v>
      </c>
      <c r="BI96" s="2"/>
      <c r="BJ96" s="3"/>
      <c r="BK96" s="3"/>
      <c r="BL96" s="3"/>
      <c r="BM96" s="3"/>
    </row>
    <row r="97" spans="1:65" ht="15">
      <c r="A97" s="65" t="s">
        <v>540</v>
      </c>
      <c r="B97" s="66"/>
      <c r="C97" s="66"/>
      <c r="D97" s="67">
        <v>466.6666666666667</v>
      </c>
      <c r="E97" s="127"/>
      <c r="F97" s="98" t="str">
        <f>HYPERLINK("https://yt3.ggpht.com/a/AATXAJx_-UKso6SyMcqiq56wnq5wnHvhhHIEyraDjg=s88-c-k-c0xffffffff-no-rj-mo")</f>
        <v>https://yt3.ggpht.com/a/AATXAJx_-UKso6SyMcqiq56wnq5wnHvhhHIEyraDjg=s88-c-k-c0xffffffff-no-rj-mo</v>
      </c>
      <c r="G97" s="128"/>
      <c r="H97" s="70" t="s">
        <v>1002</v>
      </c>
      <c r="I97" s="71"/>
      <c r="J97" s="129"/>
      <c r="K97" s="70" t="s">
        <v>1002</v>
      </c>
      <c r="L97" s="130">
        <v>323.51612903225805</v>
      </c>
      <c r="M97" s="75">
        <v>5020.34521484375</v>
      </c>
      <c r="N97" s="75">
        <v>3851.43701171875</v>
      </c>
      <c r="O97" s="76"/>
      <c r="P97" s="77"/>
      <c r="Q97" s="77"/>
      <c r="R97" s="131"/>
      <c r="S97" s="48">
        <v>1</v>
      </c>
      <c r="T97" s="48">
        <v>1</v>
      </c>
      <c r="U97" s="49">
        <v>0</v>
      </c>
      <c r="V97" s="49">
        <v>0.047619</v>
      </c>
      <c r="W97" s="49">
        <v>0</v>
      </c>
      <c r="X97" s="49">
        <v>0.559986</v>
      </c>
      <c r="Y97" s="49">
        <v>0</v>
      </c>
      <c r="Z97" s="49">
        <v>1</v>
      </c>
      <c r="AA97" s="72">
        <v>97</v>
      </c>
      <c r="AB97" s="72"/>
      <c r="AC97" s="73"/>
      <c r="AD97" s="80" t="s">
        <v>1002</v>
      </c>
      <c r="AE97" s="80"/>
      <c r="AF97" s="80"/>
      <c r="AG97" s="80"/>
      <c r="AH97" s="80"/>
      <c r="AI97" s="80"/>
      <c r="AJ97" s="84">
        <v>41937.811203703706</v>
      </c>
      <c r="AK97" s="82" t="str">
        <f>HYPERLINK("https://yt3.ggpht.com/a/AATXAJx_-UKso6SyMcqiq56wnq5wnHvhhHIEyraDjg=s88-c-k-c0xffffffff-no-rj-mo")</f>
        <v>https://yt3.ggpht.com/a/AATXAJx_-UKso6SyMcqiq56wnq5wnHvhhHIEyraDjg=s88-c-k-c0xffffffff-no-rj-mo</v>
      </c>
      <c r="AL97" s="80">
        <v>0</v>
      </c>
      <c r="AM97" s="80">
        <v>0</v>
      </c>
      <c r="AN97" s="80">
        <v>1</v>
      </c>
      <c r="AO97" s="80" t="b">
        <v>0</v>
      </c>
      <c r="AP97" s="80">
        <v>0</v>
      </c>
      <c r="AQ97" s="80"/>
      <c r="AR97" s="80"/>
      <c r="AS97" s="80" t="s">
        <v>230</v>
      </c>
      <c r="AT97" s="82" t="str">
        <f>HYPERLINK("https://www.youtube.com/channel/UCTvYzVFo4Db-JmPqhJLu1kQ")</f>
        <v>https://www.youtube.com/channel/UCTvYzVFo4Db-JmPqhJLu1kQ</v>
      </c>
      <c r="AU97" s="79" t="str">
        <f>REPLACE(INDEX(GroupVertices[Group],MATCH(Vertices[[#This Row],[Vertex]],GroupVertices[Vertex],0)),1,1,"")</f>
        <v>4</v>
      </c>
      <c r="AV97" s="48"/>
      <c r="AW97" s="49"/>
      <c r="AX97" s="48"/>
      <c r="AY97" s="49"/>
      <c r="AZ97" s="48"/>
      <c r="BA97" s="49"/>
      <c r="BB97" s="48"/>
      <c r="BC97" s="49"/>
      <c r="BD97" s="48"/>
      <c r="BE97" s="120" t="s">
        <v>408</v>
      </c>
      <c r="BF97" s="120" t="s">
        <v>408</v>
      </c>
      <c r="BG97" s="120" t="s">
        <v>408</v>
      </c>
      <c r="BH97" s="120" t="s">
        <v>408</v>
      </c>
      <c r="BI97" s="2"/>
      <c r="BJ97" s="3"/>
      <c r="BK97" s="3"/>
      <c r="BL97" s="3"/>
      <c r="BM97" s="3"/>
    </row>
    <row r="98" spans="1:65" ht="15">
      <c r="A98" s="65" t="s">
        <v>541</v>
      </c>
      <c r="B98" s="66"/>
      <c r="C98" s="66"/>
      <c r="D98" s="67">
        <v>466.6666666666667</v>
      </c>
      <c r="E98" s="127"/>
      <c r="F98" s="98" t="str">
        <f>HYPERLINK("https://yt3.ggpht.com/a/AATXAJxGWBKOv1PTrBhh5_y8lsUOyZYRQGBhWM4M3w=s88-c-k-c0xffffffff-no-rj-mo")</f>
        <v>https://yt3.ggpht.com/a/AATXAJxGWBKOv1PTrBhh5_y8lsUOyZYRQGBhWM4M3w=s88-c-k-c0xffffffff-no-rj-mo</v>
      </c>
      <c r="G98" s="128"/>
      <c r="H98" s="70" t="s">
        <v>1003</v>
      </c>
      <c r="I98" s="71"/>
      <c r="J98" s="129"/>
      <c r="K98" s="70" t="s">
        <v>1003</v>
      </c>
      <c r="L98" s="130">
        <v>323.51612903225805</v>
      </c>
      <c r="M98" s="75">
        <v>3683.907470703125</v>
      </c>
      <c r="N98" s="75">
        <v>3540.653564453125</v>
      </c>
      <c r="O98" s="76"/>
      <c r="P98" s="77"/>
      <c r="Q98" s="77"/>
      <c r="R98" s="131"/>
      <c r="S98" s="48">
        <v>1</v>
      </c>
      <c r="T98" s="48">
        <v>1</v>
      </c>
      <c r="U98" s="49">
        <v>0</v>
      </c>
      <c r="V98" s="49">
        <v>0.047619</v>
      </c>
      <c r="W98" s="49">
        <v>0</v>
      </c>
      <c r="X98" s="49">
        <v>0.559986</v>
      </c>
      <c r="Y98" s="49">
        <v>0</v>
      </c>
      <c r="Z98" s="49">
        <v>1</v>
      </c>
      <c r="AA98" s="72">
        <v>98</v>
      </c>
      <c r="AB98" s="72"/>
      <c r="AC98" s="73"/>
      <c r="AD98" s="80" t="s">
        <v>1003</v>
      </c>
      <c r="AE98" s="80" t="s">
        <v>1354</v>
      </c>
      <c r="AF98" s="80"/>
      <c r="AG98" s="80"/>
      <c r="AH98" s="80"/>
      <c r="AI98" s="80"/>
      <c r="AJ98" s="84">
        <v>39013.44734953704</v>
      </c>
      <c r="AK98" s="82" t="str">
        <f>HYPERLINK("https://yt3.ggpht.com/a/AATXAJxGWBKOv1PTrBhh5_y8lsUOyZYRQGBhWM4M3w=s88-c-k-c0xffffffff-no-rj-mo")</f>
        <v>https://yt3.ggpht.com/a/AATXAJxGWBKOv1PTrBhh5_y8lsUOyZYRQGBhWM4M3w=s88-c-k-c0xffffffff-no-rj-mo</v>
      </c>
      <c r="AL98" s="80">
        <v>1217</v>
      </c>
      <c r="AM98" s="80">
        <v>0</v>
      </c>
      <c r="AN98" s="80">
        <v>58</v>
      </c>
      <c r="AO98" s="80" t="b">
        <v>0</v>
      </c>
      <c r="AP98" s="80">
        <v>11</v>
      </c>
      <c r="AQ98" s="80"/>
      <c r="AR98" s="80"/>
      <c r="AS98" s="80" t="s">
        <v>230</v>
      </c>
      <c r="AT98" s="82" t="str">
        <f>HYPERLINK("https://www.youtube.com/channel/UCowxcCH3G-tgO2fo0pPbKMw")</f>
        <v>https://www.youtube.com/channel/UCowxcCH3G-tgO2fo0pPbKMw</v>
      </c>
      <c r="AU98" s="79" t="str">
        <f>REPLACE(INDEX(GroupVertices[Group],MATCH(Vertices[[#This Row],[Vertex]],GroupVertices[Vertex],0)),1,1,"")</f>
        <v>4</v>
      </c>
      <c r="AV98" s="48">
        <v>0</v>
      </c>
      <c r="AW98" s="49">
        <v>0</v>
      </c>
      <c r="AX98" s="48">
        <v>0</v>
      </c>
      <c r="AY98" s="49">
        <v>0</v>
      </c>
      <c r="AZ98" s="48">
        <v>0</v>
      </c>
      <c r="BA98" s="49">
        <v>0</v>
      </c>
      <c r="BB98" s="48">
        <v>2</v>
      </c>
      <c r="BC98" s="49">
        <v>100</v>
      </c>
      <c r="BD98" s="48">
        <v>2</v>
      </c>
      <c r="BE98" s="120" t="s">
        <v>408</v>
      </c>
      <c r="BF98" s="120" t="s">
        <v>408</v>
      </c>
      <c r="BG98" s="120" t="s">
        <v>408</v>
      </c>
      <c r="BH98" s="120" t="s">
        <v>408</v>
      </c>
      <c r="BI98" s="2"/>
      <c r="BJ98" s="3"/>
      <c r="BK98" s="3"/>
      <c r="BL98" s="3"/>
      <c r="BM98" s="3"/>
    </row>
    <row r="99" spans="1:65" ht="15">
      <c r="A99" s="65" t="s">
        <v>542</v>
      </c>
      <c r="B99" s="66"/>
      <c r="C99" s="66"/>
      <c r="D99" s="67">
        <v>733.3333333333334</v>
      </c>
      <c r="E99" s="127"/>
      <c r="F99" s="98" t="str">
        <f>HYPERLINK("https://yt3.ggpht.com/a/AATXAJwfeBq0lLoMpxDb67Qsz9fiqebcyEAkWufQOw=s88-c-k-c0xffffffff-no-rj-mo")</f>
        <v>https://yt3.ggpht.com/a/AATXAJwfeBq0lLoMpxDb67Qsz9fiqebcyEAkWufQOw=s88-c-k-c0xffffffff-no-rj-mo</v>
      </c>
      <c r="G99" s="128"/>
      <c r="H99" s="70" t="s">
        <v>1004</v>
      </c>
      <c r="I99" s="71"/>
      <c r="J99" s="129"/>
      <c r="K99" s="70" t="s">
        <v>1004</v>
      </c>
      <c r="L99" s="130">
        <v>646.0322580645161</v>
      </c>
      <c r="M99" s="75">
        <v>4113.57421875</v>
      </c>
      <c r="N99" s="75">
        <v>3289.964111328125</v>
      </c>
      <c r="O99" s="76"/>
      <c r="P99" s="77"/>
      <c r="Q99" s="77"/>
      <c r="R99" s="131"/>
      <c r="S99" s="48">
        <v>2</v>
      </c>
      <c r="T99" s="48">
        <v>2</v>
      </c>
      <c r="U99" s="49">
        <v>0</v>
      </c>
      <c r="V99" s="49">
        <v>0.047619</v>
      </c>
      <c r="W99" s="49">
        <v>0</v>
      </c>
      <c r="X99" s="49">
        <v>0.973889</v>
      </c>
      <c r="Y99" s="49">
        <v>0</v>
      </c>
      <c r="Z99" s="49">
        <v>1</v>
      </c>
      <c r="AA99" s="72">
        <v>99</v>
      </c>
      <c r="AB99" s="72"/>
      <c r="AC99" s="73"/>
      <c r="AD99" s="80" t="s">
        <v>1004</v>
      </c>
      <c r="AE99" s="80"/>
      <c r="AF99" s="80"/>
      <c r="AG99" s="80"/>
      <c r="AH99" s="80"/>
      <c r="AI99" s="80"/>
      <c r="AJ99" s="84">
        <v>42096.84018518519</v>
      </c>
      <c r="AK99" s="82" t="str">
        <f>HYPERLINK("https://yt3.ggpht.com/a/AATXAJwfeBq0lLoMpxDb67Qsz9fiqebcyEAkWufQOw=s88-c-k-c0xffffffff-no-rj-mo")</f>
        <v>https://yt3.ggpht.com/a/AATXAJwfeBq0lLoMpxDb67Qsz9fiqebcyEAkWufQOw=s88-c-k-c0xffffffff-no-rj-mo</v>
      </c>
      <c r="AL99" s="80">
        <v>0</v>
      </c>
      <c r="AM99" s="80">
        <v>0</v>
      </c>
      <c r="AN99" s="80">
        <v>4</v>
      </c>
      <c r="AO99" s="80" t="b">
        <v>0</v>
      </c>
      <c r="AP99" s="80">
        <v>0</v>
      </c>
      <c r="AQ99" s="80"/>
      <c r="AR99" s="80"/>
      <c r="AS99" s="80" t="s">
        <v>230</v>
      </c>
      <c r="AT99" s="82" t="str">
        <f>HYPERLINK("https://www.youtube.com/channel/UCYIZyVsh8xah1oFsr5_SBSA")</f>
        <v>https://www.youtube.com/channel/UCYIZyVsh8xah1oFsr5_SBSA</v>
      </c>
      <c r="AU99" s="79" t="str">
        <f>REPLACE(INDEX(GroupVertices[Group],MATCH(Vertices[[#This Row],[Vertex]],GroupVertices[Vertex],0)),1,1,"")</f>
        <v>4</v>
      </c>
      <c r="AV99" s="48"/>
      <c r="AW99" s="49"/>
      <c r="AX99" s="48"/>
      <c r="AY99" s="49"/>
      <c r="AZ99" s="48"/>
      <c r="BA99" s="49"/>
      <c r="BB99" s="48"/>
      <c r="BC99" s="49"/>
      <c r="BD99" s="48"/>
      <c r="BE99" s="120" t="s">
        <v>408</v>
      </c>
      <c r="BF99" s="120" t="s">
        <v>408</v>
      </c>
      <c r="BG99" s="120" t="s">
        <v>408</v>
      </c>
      <c r="BH99" s="120" t="s">
        <v>408</v>
      </c>
      <c r="BI99" s="2"/>
      <c r="BJ99" s="3"/>
      <c r="BK99" s="3"/>
      <c r="BL99" s="3"/>
      <c r="BM99" s="3"/>
    </row>
    <row r="100" spans="1:65" ht="15">
      <c r="A100" s="65" t="s">
        <v>543</v>
      </c>
      <c r="B100" s="66"/>
      <c r="C100" s="66"/>
      <c r="D100" s="67">
        <v>466.6666666666667</v>
      </c>
      <c r="E100" s="127"/>
      <c r="F100" s="98" t="str">
        <f>HYPERLINK("https://yt3.ggpht.com/a/AATXAJzLMBP9RoONd8yRdEkYmfjZlmw2Eet_560QPg=s88-c-k-c0xffffffff-no-rj-mo")</f>
        <v>https://yt3.ggpht.com/a/AATXAJzLMBP9RoONd8yRdEkYmfjZlmw2Eet_560QPg=s88-c-k-c0xffffffff-no-rj-mo</v>
      </c>
      <c r="G100" s="128"/>
      <c r="H100" s="70" t="s">
        <v>1005</v>
      </c>
      <c r="I100" s="71"/>
      <c r="J100" s="129"/>
      <c r="K100" s="70" t="s">
        <v>1005</v>
      </c>
      <c r="L100" s="130">
        <v>323.51612903225805</v>
      </c>
      <c r="M100" s="75">
        <v>3603.363037109375</v>
      </c>
      <c r="N100" s="75">
        <v>4057.927001953125</v>
      </c>
      <c r="O100" s="76"/>
      <c r="P100" s="77"/>
      <c r="Q100" s="77"/>
      <c r="R100" s="131"/>
      <c r="S100" s="48">
        <v>1</v>
      </c>
      <c r="T100" s="48">
        <v>1</v>
      </c>
      <c r="U100" s="49">
        <v>0</v>
      </c>
      <c r="V100" s="49">
        <v>0.047619</v>
      </c>
      <c r="W100" s="49">
        <v>0</v>
      </c>
      <c r="X100" s="49">
        <v>0.559986</v>
      </c>
      <c r="Y100" s="49">
        <v>0</v>
      </c>
      <c r="Z100" s="49">
        <v>1</v>
      </c>
      <c r="AA100" s="72">
        <v>100</v>
      </c>
      <c r="AB100" s="72"/>
      <c r="AC100" s="73"/>
      <c r="AD100" s="80" t="s">
        <v>1005</v>
      </c>
      <c r="AE100" s="80"/>
      <c r="AF100" s="80"/>
      <c r="AG100" s="80"/>
      <c r="AH100" s="80"/>
      <c r="AI100" s="80"/>
      <c r="AJ100" s="84">
        <v>41870.23998842593</v>
      </c>
      <c r="AK100" s="82" t="str">
        <f>HYPERLINK("https://yt3.ggpht.com/a/AATXAJzLMBP9RoONd8yRdEkYmfjZlmw2Eet_560QPg=s88-c-k-c0xffffffff-no-rj-mo")</f>
        <v>https://yt3.ggpht.com/a/AATXAJzLMBP9RoONd8yRdEkYmfjZlmw2Eet_560QPg=s88-c-k-c0xffffffff-no-rj-mo</v>
      </c>
      <c r="AL100" s="80">
        <v>0</v>
      </c>
      <c r="AM100" s="80">
        <v>0</v>
      </c>
      <c r="AN100" s="80">
        <v>0</v>
      </c>
      <c r="AO100" s="80" t="b">
        <v>0</v>
      </c>
      <c r="AP100" s="80">
        <v>0</v>
      </c>
      <c r="AQ100" s="80"/>
      <c r="AR100" s="80"/>
      <c r="AS100" s="80" t="s">
        <v>230</v>
      </c>
      <c r="AT100" s="82" t="str">
        <f>HYPERLINK("https://www.youtube.com/channel/UCdbbW2_4oxgjMOmJDAuTVCQ")</f>
        <v>https://www.youtube.com/channel/UCdbbW2_4oxgjMOmJDAuTVCQ</v>
      </c>
      <c r="AU100" s="79" t="str">
        <f>REPLACE(INDEX(GroupVertices[Group],MATCH(Vertices[[#This Row],[Vertex]],GroupVertices[Vertex],0)),1,1,"")</f>
        <v>4</v>
      </c>
      <c r="AV100" s="48"/>
      <c r="AW100" s="49"/>
      <c r="AX100" s="48"/>
      <c r="AY100" s="49"/>
      <c r="AZ100" s="48"/>
      <c r="BA100" s="49"/>
      <c r="BB100" s="48"/>
      <c r="BC100" s="49"/>
      <c r="BD100" s="48"/>
      <c r="BE100" s="120" t="s">
        <v>408</v>
      </c>
      <c r="BF100" s="120" t="s">
        <v>408</v>
      </c>
      <c r="BG100" s="120" t="s">
        <v>408</v>
      </c>
      <c r="BH100" s="120" t="s">
        <v>408</v>
      </c>
      <c r="BI100" s="2"/>
      <c r="BJ100" s="3"/>
      <c r="BK100" s="3"/>
      <c r="BL100" s="3"/>
      <c r="BM100" s="3"/>
    </row>
    <row r="101" spans="1:65" ht="15">
      <c r="A101" s="65" t="s">
        <v>544</v>
      </c>
      <c r="B101" s="66"/>
      <c r="C101" s="66"/>
      <c r="D101" s="67">
        <v>466.6666666666667</v>
      </c>
      <c r="E101" s="127"/>
      <c r="F101" s="98" t="str">
        <f>HYPERLINK("https://yt3.ggpht.com/a/AATXAJzr1iWKich8prpXgUjHj_y2LmwNovY9Z0dXVw=s88-c-k-c0xffffffff-no-rj-mo")</f>
        <v>https://yt3.ggpht.com/a/AATXAJzr1iWKich8prpXgUjHj_y2LmwNovY9Z0dXVw=s88-c-k-c0xffffffff-no-rj-mo</v>
      </c>
      <c r="G101" s="128"/>
      <c r="H101" s="70" t="s">
        <v>1006</v>
      </c>
      <c r="I101" s="71"/>
      <c r="J101" s="129"/>
      <c r="K101" s="70" t="s">
        <v>1006</v>
      </c>
      <c r="L101" s="130">
        <v>323.51612903225805</v>
      </c>
      <c r="M101" s="75">
        <v>4306.11474609375</v>
      </c>
      <c r="N101" s="75">
        <v>4649.1455078125</v>
      </c>
      <c r="O101" s="76"/>
      <c r="P101" s="77"/>
      <c r="Q101" s="77"/>
      <c r="R101" s="131"/>
      <c r="S101" s="48">
        <v>1</v>
      </c>
      <c r="T101" s="48">
        <v>1</v>
      </c>
      <c r="U101" s="49">
        <v>0</v>
      </c>
      <c r="V101" s="49">
        <v>0.047619</v>
      </c>
      <c r="W101" s="49">
        <v>0</v>
      </c>
      <c r="X101" s="49">
        <v>0.559986</v>
      </c>
      <c r="Y101" s="49">
        <v>0</v>
      </c>
      <c r="Z101" s="49">
        <v>1</v>
      </c>
      <c r="AA101" s="72">
        <v>101</v>
      </c>
      <c r="AB101" s="72"/>
      <c r="AC101" s="73"/>
      <c r="AD101" s="80" t="s">
        <v>1006</v>
      </c>
      <c r="AE101" s="80"/>
      <c r="AF101" s="80"/>
      <c r="AG101" s="80"/>
      <c r="AH101" s="80"/>
      <c r="AI101" s="80"/>
      <c r="AJ101" s="84">
        <v>40974.15681712963</v>
      </c>
      <c r="AK101" s="82" t="str">
        <f>HYPERLINK("https://yt3.ggpht.com/a/AATXAJzr1iWKich8prpXgUjHj_y2LmwNovY9Z0dXVw=s88-c-k-c0xffffffff-no-rj-mo")</f>
        <v>https://yt3.ggpht.com/a/AATXAJzr1iWKich8prpXgUjHj_y2LmwNovY9Z0dXVw=s88-c-k-c0xffffffff-no-rj-mo</v>
      </c>
      <c r="AL101" s="80">
        <v>0</v>
      </c>
      <c r="AM101" s="80">
        <v>0</v>
      </c>
      <c r="AN101" s="80">
        <v>0</v>
      </c>
      <c r="AO101" s="80" t="b">
        <v>0</v>
      </c>
      <c r="AP101" s="80">
        <v>0</v>
      </c>
      <c r="AQ101" s="80"/>
      <c r="AR101" s="80"/>
      <c r="AS101" s="80" t="s">
        <v>230</v>
      </c>
      <c r="AT101" s="82" t="str">
        <f>HYPERLINK("https://www.youtube.com/channel/UC3gwIQsVzQujAu5GWa6kKCQ")</f>
        <v>https://www.youtube.com/channel/UC3gwIQsVzQujAu5GWa6kKCQ</v>
      </c>
      <c r="AU101" s="79" t="str">
        <f>REPLACE(INDEX(GroupVertices[Group],MATCH(Vertices[[#This Row],[Vertex]],GroupVertices[Vertex],0)),1,1,"")</f>
        <v>4</v>
      </c>
      <c r="AV101" s="48"/>
      <c r="AW101" s="49"/>
      <c r="AX101" s="48"/>
      <c r="AY101" s="49"/>
      <c r="AZ101" s="48"/>
      <c r="BA101" s="49"/>
      <c r="BB101" s="48"/>
      <c r="BC101" s="49"/>
      <c r="BD101" s="48"/>
      <c r="BE101" s="120" t="s">
        <v>408</v>
      </c>
      <c r="BF101" s="120" t="s">
        <v>408</v>
      </c>
      <c r="BG101" s="120" t="s">
        <v>408</v>
      </c>
      <c r="BH101" s="120" t="s">
        <v>408</v>
      </c>
      <c r="BI101" s="2"/>
      <c r="BJ101" s="3"/>
      <c r="BK101" s="3"/>
      <c r="BL101" s="3"/>
      <c r="BM101" s="3"/>
    </row>
    <row r="102" spans="1:65" ht="15">
      <c r="A102" s="65" t="s">
        <v>545</v>
      </c>
      <c r="B102" s="66"/>
      <c r="C102" s="66"/>
      <c r="D102" s="67">
        <v>1000</v>
      </c>
      <c r="E102" s="127"/>
      <c r="F102" s="98" t="str">
        <f>HYPERLINK("https://yt3.ggpht.com/a/AATXAJyh1UhaxMwErzfeRn1DMuajbGNMsvUGqfTVWg=s88-c-k-c0xffffffff-no-rj-mo")</f>
        <v>https://yt3.ggpht.com/a/AATXAJyh1UhaxMwErzfeRn1DMuajbGNMsvUGqfTVWg=s88-c-k-c0xffffffff-no-rj-mo</v>
      </c>
      <c r="G102" s="128"/>
      <c r="H102" s="70" t="s">
        <v>1007</v>
      </c>
      <c r="I102" s="71"/>
      <c r="J102" s="129"/>
      <c r="K102" s="70" t="s">
        <v>1007</v>
      </c>
      <c r="L102" s="130">
        <v>968.5483870967741</v>
      </c>
      <c r="M102" s="75">
        <v>7359.85546875</v>
      </c>
      <c r="N102" s="75">
        <v>4830.3466796875</v>
      </c>
      <c r="O102" s="76"/>
      <c r="P102" s="77"/>
      <c r="Q102" s="77"/>
      <c r="R102" s="131"/>
      <c r="S102" s="48">
        <v>3</v>
      </c>
      <c r="T102" s="48">
        <v>3</v>
      </c>
      <c r="U102" s="49">
        <v>6</v>
      </c>
      <c r="V102" s="49">
        <v>0.333333</v>
      </c>
      <c r="W102" s="49">
        <v>0</v>
      </c>
      <c r="X102" s="49">
        <v>1.918913</v>
      </c>
      <c r="Y102" s="49">
        <v>0</v>
      </c>
      <c r="Z102" s="49">
        <v>1</v>
      </c>
      <c r="AA102" s="72">
        <v>102</v>
      </c>
      <c r="AB102" s="72"/>
      <c r="AC102" s="73"/>
      <c r="AD102" s="80" t="s">
        <v>1007</v>
      </c>
      <c r="AE102" s="80" t="s">
        <v>1355</v>
      </c>
      <c r="AF102" s="80"/>
      <c r="AG102" s="80"/>
      <c r="AH102" s="80"/>
      <c r="AI102" s="80"/>
      <c r="AJ102" s="84">
        <v>38866.80670138889</v>
      </c>
      <c r="AK102" s="82" t="str">
        <f>HYPERLINK("https://yt3.ggpht.com/a/AATXAJyh1UhaxMwErzfeRn1DMuajbGNMsvUGqfTVWg=s88-c-k-c0xffffffff-no-rj-mo")</f>
        <v>https://yt3.ggpht.com/a/AATXAJyh1UhaxMwErzfeRn1DMuajbGNMsvUGqfTVWg=s88-c-k-c0xffffffff-no-rj-mo</v>
      </c>
      <c r="AL102" s="80">
        <v>6910</v>
      </c>
      <c r="AM102" s="80">
        <v>0</v>
      </c>
      <c r="AN102" s="80">
        <v>0</v>
      </c>
      <c r="AO102" s="80" t="b">
        <v>1</v>
      </c>
      <c r="AP102" s="80">
        <v>24</v>
      </c>
      <c r="AQ102" s="80"/>
      <c r="AR102" s="80"/>
      <c r="AS102" s="80" t="s">
        <v>230</v>
      </c>
      <c r="AT102" s="82" t="str">
        <f>HYPERLINK("https://www.youtube.com/channel/UCyi-IKqccpG5QQHqzwzLx_g")</f>
        <v>https://www.youtube.com/channel/UCyi-IKqccpG5QQHqzwzLx_g</v>
      </c>
      <c r="AU102" s="79" t="str">
        <f>REPLACE(INDEX(GroupVertices[Group],MATCH(Vertices[[#This Row],[Vertex]],GroupVertices[Vertex],0)),1,1,"")</f>
        <v>15</v>
      </c>
      <c r="AV102" s="48">
        <v>2</v>
      </c>
      <c r="AW102" s="49">
        <v>2.3529411764705883</v>
      </c>
      <c r="AX102" s="48">
        <v>1</v>
      </c>
      <c r="AY102" s="49">
        <v>1.1764705882352942</v>
      </c>
      <c r="AZ102" s="48">
        <v>0</v>
      </c>
      <c r="BA102" s="49">
        <v>0</v>
      </c>
      <c r="BB102" s="48">
        <v>82</v>
      </c>
      <c r="BC102" s="49">
        <v>96.47058823529412</v>
      </c>
      <c r="BD102" s="48">
        <v>85</v>
      </c>
      <c r="BE102" s="120" t="s">
        <v>408</v>
      </c>
      <c r="BF102" s="120" t="s">
        <v>408</v>
      </c>
      <c r="BG102" s="120" t="s">
        <v>408</v>
      </c>
      <c r="BH102" s="120" t="s">
        <v>408</v>
      </c>
      <c r="BI102" s="2"/>
      <c r="BJ102" s="3"/>
      <c r="BK102" s="3"/>
      <c r="BL102" s="3"/>
      <c r="BM102" s="3"/>
    </row>
    <row r="103" spans="1:65" ht="15">
      <c r="A103" s="65" t="s">
        <v>546</v>
      </c>
      <c r="B103" s="66"/>
      <c r="C103" s="66"/>
      <c r="D103" s="67">
        <v>466.6666666666667</v>
      </c>
      <c r="E103" s="127"/>
      <c r="F103" s="98" t="str">
        <f>HYPERLINK("https://yt3.ggpht.com/a/AATXAJxXPmo85ZqGeMaXC2Vnjh_ZUMg3jZH3nYUb=s88-c-k-c0xffffffff-no-rj-mo")</f>
        <v>https://yt3.ggpht.com/a/AATXAJxXPmo85ZqGeMaXC2Vnjh_ZUMg3jZH3nYUb=s88-c-k-c0xffffffff-no-rj-mo</v>
      </c>
      <c r="G103" s="128"/>
      <c r="H103" s="70" t="s">
        <v>1008</v>
      </c>
      <c r="I103" s="71"/>
      <c r="J103" s="129"/>
      <c r="K103" s="70" t="s">
        <v>1008</v>
      </c>
      <c r="L103" s="130">
        <v>323.51612903225805</v>
      </c>
      <c r="M103" s="75">
        <v>6927.49853515625</v>
      </c>
      <c r="N103" s="75">
        <v>5433.3408203125</v>
      </c>
      <c r="O103" s="76"/>
      <c r="P103" s="77"/>
      <c r="Q103" s="77"/>
      <c r="R103" s="131"/>
      <c r="S103" s="48">
        <v>1</v>
      </c>
      <c r="T103" s="48">
        <v>1</v>
      </c>
      <c r="U103" s="49">
        <v>0</v>
      </c>
      <c r="V103" s="49">
        <v>0.2</v>
      </c>
      <c r="W103" s="49">
        <v>0</v>
      </c>
      <c r="X103" s="49">
        <v>0.693692</v>
      </c>
      <c r="Y103" s="49">
        <v>0</v>
      </c>
      <c r="Z103" s="49">
        <v>1</v>
      </c>
      <c r="AA103" s="72">
        <v>103</v>
      </c>
      <c r="AB103" s="72"/>
      <c r="AC103" s="73"/>
      <c r="AD103" s="80" t="s">
        <v>1008</v>
      </c>
      <c r="AE103" s="80"/>
      <c r="AF103" s="80"/>
      <c r="AG103" s="80"/>
      <c r="AH103" s="80"/>
      <c r="AI103" s="80"/>
      <c r="AJ103" s="84">
        <v>40734.27453703704</v>
      </c>
      <c r="AK103" s="82" t="str">
        <f>HYPERLINK("https://yt3.ggpht.com/a/AATXAJxXPmo85ZqGeMaXC2Vnjh_ZUMg3jZH3nYUb=s88-c-k-c0xffffffff-no-rj-mo")</f>
        <v>https://yt3.ggpht.com/a/AATXAJxXPmo85ZqGeMaXC2Vnjh_ZUMg3jZH3nYUb=s88-c-k-c0xffffffff-no-rj-mo</v>
      </c>
      <c r="AL103" s="80">
        <v>0</v>
      </c>
      <c r="AM103" s="80">
        <v>0</v>
      </c>
      <c r="AN103" s="80">
        <v>1</v>
      </c>
      <c r="AO103" s="80" t="b">
        <v>0</v>
      </c>
      <c r="AP103" s="80">
        <v>0</v>
      </c>
      <c r="AQ103" s="80"/>
      <c r="AR103" s="80"/>
      <c r="AS103" s="80" t="s">
        <v>230</v>
      </c>
      <c r="AT103" s="82" t="str">
        <f>HYPERLINK("https://www.youtube.com/channel/UCJWk4GGtM3R93hv9zsSaExw")</f>
        <v>https://www.youtube.com/channel/UCJWk4GGtM3R93hv9zsSaExw</v>
      </c>
      <c r="AU103" s="79" t="str">
        <f>REPLACE(INDEX(GroupVertices[Group],MATCH(Vertices[[#This Row],[Vertex]],GroupVertices[Vertex],0)),1,1,"")</f>
        <v>15</v>
      </c>
      <c r="AV103" s="48"/>
      <c r="AW103" s="49"/>
      <c r="AX103" s="48"/>
      <c r="AY103" s="49"/>
      <c r="AZ103" s="48"/>
      <c r="BA103" s="49"/>
      <c r="BB103" s="48"/>
      <c r="BC103" s="49"/>
      <c r="BD103" s="48"/>
      <c r="BE103" s="120" t="s">
        <v>408</v>
      </c>
      <c r="BF103" s="120" t="s">
        <v>408</v>
      </c>
      <c r="BG103" s="120" t="s">
        <v>408</v>
      </c>
      <c r="BH103" s="120" t="s">
        <v>408</v>
      </c>
      <c r="BI103" s="2"/>
      <c r="BJ103" s="3"/>
      <c r="BK103" s="3"/>
      <c r="BL103" s="3"/>
      <c r="BM103" s="3"/>
    </row>
    <row r="104" spans="1:65" ht="15">
      <c r="A104" s="65" t="s">
        <v>547</v>
      </c>
      <c r="B104" s="66"/>
      <c r="C104" s="66"/>
      <c r="D104" s="67">
        <v>466.6666666666667</v>
      </c>
      <c r="E104" s="127"/>
      <c r="F104" s="98" t="str">
        <f>HYPERLINK("https://yt3.ggpht.com/a/AATXAJyHybd8EuejayveN13jmMInNQljj0GRTvj1ug=s88-c-k-c0xffffffff-no-rj-mo")</f>
        <v>https://yt3.ggpht.com/a/AATXAJyHybd8EuejayveN13jmMInNQljj0GRTvj1ug=s88-c-k-c0xffffffff-no-rj-mo</v>
      </c>
      <c r="G104" s="128"/>
      <c r="H104" s="70" t="s">
        <v>1009</v>
      </c>
      <c r="I104" s="71"/>
      <c r="J104" s="129"/>
      <c r="K104" s="70" t="s">
        <v>1009</v>
      </c>
      <c r="L104" s="130">
        <v>323.51612903225805</v>
      </c>
      <c r="M104" s="75">
        <v>7240.6240234375</v>
      </c>
      <c r="N104" s="75">
        <v>3945.886474609375</v>
      </c>
      <c r="O104" s="76"/>
      <c r="P104" s="77"/>
      <c r="Q104" s="77"/>
      <c r="R104" s="131"/>
      <c r="S104" s="48">
        <v>1</v>
      </c>
      <c r="T104" s="48">
        <v>1</v>
      </c>
      <c r="U104" s="49">
        <v>0</v>
      </c>
      <c r="V104" s="49">
        <v>0.2</v>
      </c>
      <c r="W104" s="49">
        <v>0</v>
      </c>
      <c r="X104" s="49">
        <v>0.693692</v>
      </c>
      <c r="Y104" s="49">
        <v>0</v>
      </c>
      <c r="Z104" s="49">
        <v>1</v>
      </c>
      <c r="AA104" s="72">
        <v>104</v>
      </c>
      <c r="AB104" s="72"/>
      <c r="AC104" s="73"/>
      <c r="AD104" s="80" t="s">
        <v>1009</v>
      </c>
      <c r="AE104" s="80"/>
      <c r="AF104" s="80"/>
      <c r="AG104" s="80"/>
      <c r="AH104" s="80"/>
      <c r="AI104" s="80"/>
      <c r="AJ104" s="84">
        <v>43903.48626157407</v>
      </c>
      <c r="AK104" s="82" t="str">
        <f>HYPERLINK("https://yt3.ggpht.com/a/AATXAJyHybd8EuejayveN13jmMInNQljj0GRTvj1ug=s88-c-k-c0xffffffff-no-rj-mo")</f>
        <v>https://yt3.ggpht.com/a/AATXAJyHybd8EuejayveN13jmMInNQljj0GRTvj1ug=s88-c-k-c0xffffffff-no-rj-mo</v>
      </c>
      <c r="AL104" s="80">
        <v>0</v>
      </c>
      <c r="AM104" s="80">
        <v>0</v>
      </c>
      <c r="AN104" s="80">
        <v>0</v>
      </c>
      <c r="AO104" s="80" t="b">
        <v>0</v>
      </c>
      <c r="AP104" s="80">
        <v>0</v>
      </c>
      <c r="AQ104" s="80"/>
      <c r="AR104" s="80"/>
      <c r="AS104" s="80" t="s">
        <v>230</v>
      </c>
      <c r="AT104" s="82" t="str">
        <f>HYPERLINK("https://www.youtube.com/channel/UCulwrFxBkHWdl7jBH9tCD8w")</f>
        <v>https://www.youtube.com/channel/UCulwrFxBkHWdl7jBH9tCD8w</v>
      </c>
      <c r="AU104" s="79" t="str">
        <f>REPLACE(INDEX(GroupVertices[Group],MATCH(Vertices[[#This Row],[Vertex]],GroupVertices[Vertex],0)),1,1,"")</f>
        <v>15</v>
      </c>
      <c r="AV104" s="48"/>
      <c r="AW104" s="49"/>
      <c r="AX104" s="48"/>
      <c r="AY104" s="49"/>
      <c r="AZ104" s="48"/>
      <c r="BA104" s="49"/>
      <c r="BB104" s="48"/>
      <c r="BC104" s="49"/>
      <c r="BD104" s="48"/>
      <c r="BE104" s="120" t="s">
        <v>408</v>
      </c>
      <c r="BF104" s="120" t="s">
        <v>408</v>
      </c>
      <c r="BG104" s="120" t="s">
        <v>408</v>
      </c>
      <c r="BH104" s="120" t="s">
        <v>408</v>
      </c>
      <c r="BI104" s="2"/>
      <c r="BJ104" s="3"/>
      <c r="BK104" s="3"/>
      <c r="BL104" s="3"/>
      <c r="BM104" s="3"/>
    </row>
    <row r="105" spans="1:65" ht="15">
      <c r="A105" s="65" t="s">
        <v>548</v>
      </c>
      <c r="B105" s="66"/>
      <c r="C105" s="66"/>
      <c r="D105" s="67">
        <v>466.6666666666667</v>
      </c>
      <c r="E105" s="127"/>
      <c r="F105" s="98" t="str">
        <f>HYPERLINK("https://yt3.ggpht.com/a/AATXAJwNYPcOFdMHkWSHwjwpsEoqcjU7xhwiV_j44A=s88-c-k-c0xffffffff-no-rj-mo")</f>
        <v>https://yt3.ggpht.com/a/AATXAJwNYPcOFdMHkWSHwjwpsEoqcjU7xhwiV_j44A=s88-c-k-c0xffffffff-no-rj-mo</v>
      </c>
      <c r="G105" s="128"/>
      <c r="H105" s="70" t="s">
        <v>1010</v>
      </c>
      <c r="I105" s="71"/>
      <c r="J105" s="129"/>
      <c r="K105" s="70" t="s">
        <v>1010</v>
      </c>
      <c r="L105" s="130">
        <v>323.51612903225805</v>
      </c>
      <c r="M105" s="75">
        <v>7911.44287109375</v>
      </c>
      <c r="N105" s="75">
        <v>5111.8125</v>
      </c>
      <c r="O105" s="76"/>
      <c r="P105" s="77"/>
      <c r="Q105" s="77"/>
      <c r="R105" s="131"/>
      <c r="S105" s="48">
        <v>1</v>
      </c>
      <c r="T105" s="48">
        <v>1</v>
      </c>
      <c r="U105" s="49">
        <v>0</v>
      </c>
      <c r="V105" s="49">
        <v>0.2</v>
      </c>
      <c r="W105" s="49">
        <v>0</v>
      </c>
      <c r="X105" s="49">
        <v>0.693692</v>
      </c>
      <c r="Y105" s="49">
        <v>0</v>
      </c>
      <c r="Z105" s="49">
        <v>1</v>
      </c>
      <c r="AA105" s="72">
        <v>105</v>
      </c>
      <c r="AB105" s="72"/>
      <c r="AC105" s="73"/>
      <c r="AD105" s="80" t="s">
        <v>1010</v>
      </c>
      <c r="AE105" s="80"/>
      <c r="AF105" s="80"/>
      <c r="AG105" s="80"/>
      <c r="AH105" s="80"/>
      <c r="AI105" s="80"/>
      <c r="AJ105" s="84">
        <v>39690.92355324074</v>
      </c>
      <c r="AK105" s="82" t="str">
        <f>HYPERLINK("https://yt3.ggpht.com/a/AATXAJwNYPcOFdMHkWSHwjwpsEoqcjU7xhwiV_j44A=s88-c-k-c0xffffffff-no-rj-mo")</f>
        <v>https://yt3.ggpht.com/a/AATXAJwNYPcOFdMHkWSHwjwpsEoqcjU7xhwiV_j44A=s88-c-k-c0xffffffff-no-rj-mo</v>
      </c>
      <c r="AL105" s="80">
        <v>0</v>
      </c>
      <c r="AM105" s="80">
        <v>0</v>
      </c>
      <c r="AN105" s="80">
        <v>1</v>
      </c>
      <c r="AO105" s="80" t="b">
        <v>0</v>
      </c>
      <c r="AP105" s="80">
        <v>1</v>
      </c>
      <c r="AQ105" s="80"/>
      <c r="AR105" s="80"/>
      <c r="AS105" s="80" t="s">
        <v>230</v>
      </c>
      <c r="AT105" s="82" t="str">
        <f>HYPERLINK("https://www.youtube.com/channel/UC_dba-iHCMtq_7-Pk6zscoQ")</f>
        <v>https://www.youtube.com/channel/UC_dba-iHCMtq_7-Pk6zscoQ</v>
      </c>
      <c r="AU105" s="79" t="str">
        <f>REPLACE(INDEX(GroupVertices[Group],MATCH(Vertices[[#This Row],[Vertex]],GroupVertices[Vertex],0)),1,1,"")</f>
        <v>15</v>
      </c>
      <c r="AV105" s="48"/>
      <c r="AW105" s="49"/>
      <c r="AX105" s="48"/>
      <c r="AY105" s="49"/>
      <c r="AZ105" s="48"/>
      <c r="BA105" s="49"/>
      <c r="BB105" s="48"/>
      <c r="BC105" s="49"/>
      <c r="BD105" s="48"/>
      <c r="BE105" s="120" t="s">
        <v>408</v>
      </c>
      <c r="BF105" s="120" t="s">
        <v>408</v>
      </c>
      <c r="BG105" s="120" t="s">
        <v>408</v>
      </c>
      <c r="BH105" s="120" t="s">
        <v>408</v>
      </c>
      <c r="BI105" s="2"/>
      <c r="BJ105" s="3"/>
      <c r="BK105" s="3"/>
      <c r="BL105" s="3"/>
      <c r="BM105" s="3"/>
    </row>
    <row r="106" spans="1:65" ht="15">
      <c r="A106" s="65" t="s">
        <v>549</v>
      </c>
      <c r="B106" s="66"/>
      <c r="C106" s="66"/>
      <c r="D106" s="67">
        <v>733.3333333333334</v>
      </c>
      <c r="E106" s="127"/>
      <c r="F106" s="98" t="str">
        <f>HYPERLINK("https://yt3.ggpht.com/a/AATXAJwroQ6hdJY_wTQPx1gr13srO3O-q_TFuKjXpQ=s88-c-k-c0xffffffff-no-rj-mo")</f>
        <v>https://yt3.ggpht.com/a/AATXAJwroQ6hdJY_wTQPx1gr13srO3O-q_TFuKjXpQ=s88-c-k-c0xffffffff-no-rj-mo</v>
      </c>
      <c r="G106" s="128"/>
      <c r="H106" s="70" t="s">
        <v>1011</v>
      </c>
      <c r="I106" s="71"/>
      <c r="J106" s="129"/>
      <c r="K106" s="70" t="s">
        <v>1011</v>
      </c>
      <c r="L106" s="130">
        <v>646.0322580645161</v>
      </c>
      <c r="M106" s="75">
        <v>7435.1572265625</v>
      </c>
      <c r="N106" s="75">
        <v>722.526611328125</v>
      </c>
      <c r="O106" s="76"/>
      <c r="P106" s="77"/>
      <c r="Q106" s="77"/>
      <c r="R106" s="131"/>
      <c r="S106" s="48">
        <v>2</v>
      </c>
      <c r="T106" s="48">
        <v>2</v>
      </c>
      <c r="U106" s="49">
        <v>2</v>
      </c>
      <c r="V106" s="49">
        <v>0.5</v>
      </c>
      <c r="W106" s="49">
        <v>0</v>
      </c>
      <c r="X106" s="49">
        <v>1.459455</v>
      </c>
      <c r="Y106" s="49">
        <v>0</v>
      </c>
      <c r="Z106" s="49">
        <v>1</v>
      </c>
      <c r="AA106" s="72">
        <v>106</v>
      </c>
      <c r="AB106" s="72"/>
      <c r="AC106" s="73"/>
      <c r="AD106" s="80" t="s">
        <v>1011</v>
      </c>
      <c r="AE106" s="80" t="s">
        <v>1356</v>
      </c>
      <c r="AF106" s="80"/>
      <c r="AG106" s="80"/>
      <c r="AH106" s="80"/>
      <c r="AI106" s="80"/>
      <c r="AJ106" s="84">
        <v>43077.605833333335</v>
      </c>
      <c r="AK106" s="82" t="str">
        <f>HYPERLINK("https://yt3.ggpht.com/a/AATXAJwroQ6hdJY_wTQPx1gr13srO3O-q_TFuKjXpQ=s88-c-k-c0xffffffff-no-rj-mo")</f>
        <v>https://yt3.ggpht.com/a/AATXAJwroQ6hdJY_wTQPx1gr13srO3O-q_TFuKjXpQ=s88-c-k-c0xffffffff-no-rj-mo</v>
      </c>
      <c r="AL106" s="80">
        <v>301485</v>
      </c>
      <c r="AM106" s="80">
        <v>0</v>
      </c>
      <c r="AN106" s="80">
        <v>4770</v>
      </c>
      <c r="AO106" s="80" t="b">
        <v>0</v>
      </c>
      <c r="AP106" s="80">
        <v>214</v>
      </c>
      <c r="AQ106" s="80"/>
      <c r="AR106" s="80"/>
      <c r="AS106" s="80" t="s">
        <v>230</v>
      </c>
      <c r="AT106" s="82" t="str">
        <f>HYPERLINK("https://www.youtube.com/channel/UCZA_5vGtSpZu86VBDdSnSag")</f>
        <v>https://www.youtube.com/channel/UCZA_5vGtSpZu86VBDdSnSag</v>
      </c>
      <c r="AU106" s="79" t="str">
        <f>REPLACE(INDEX(GroupVertices[Group],MATCH(Vertices[[#This Row],[Vertex]],GroupVertices[Vertex],0)),1,1,"")</f>
        <v>20</v>
      </c>
      <c r="AV106" s="48">
        <v>4</v>
      </c>
      <c r="AW106" s="49">
        <v>10</v>
      </c>
      <c r="AX106" s="48">
        <v>0</v>
      </c>
      <c r="AY106" s="49">
        <v>0</v>
      </c>
      <c r="AZ106" s="48">
        <v>0</v>
      </c>
      <c r="BA106" s="49">
        <v>0</v>
      </c>
      <c r="BB106" s="48">
        <v>36</v>
      </c>
      <c r="BC106" s="49">
        <v>90</v>
      </c>
      <c r="BD106" s="48">
        <v>40</v>
      </c>
      <c r="BE106" s="120" t="s">
        <v>408</v>
      </c>
      <c r="BF106" s="120" t="s">
        <v>408</v>
      </c>
      <c r="BG106" s="120" t="s">
        <v>408</v>
      </c>
      <c r="BH106" s="120" t="s">
        <v>408</v>
      </c>
      <c r="BI106" s="2"/>
      <c r="BJ106" s="3"/>
      <c r="BK106" s="3"/>
      <c r="BL106" s="3"/>
      <c r="BM106" s="3"/>
    </row>
    <row r="107" spans="1:65" ht="15">
      <c r="A107" s="65" t="s">
        <v>550</v>
      </c>
      <c r="B107" s="66"/>
      <c r="C107" s="66"/>
      <c r="D107" s="67">
        <v>466.6666666666667</v>
      </c>
      <c r="E107" s="127"/>
      <c r="F107" s="98" t="str">
        <f>HYPERLINK("https://yt3.ggpht.com/a/AATXAJwFyd1Nk0BiqKPQPMv_h07LaMg8gOhN2ffBxg=s88-c-k-c0xffffffff-no-rj-mo")</f>
        <v>https://yt3.ggpht.com/a/AATXAJwFyd1Nk0BiqKPQPMv_h07LaMg8gOhN2ffBxg=s88-c-k-c0xffffffff-no-rj-mo</v>
      </c>
      <c r="G107" s="128"/>
      <c r="H107" s="70" t="s">
        <v>1012</v>
      </c>
      <c r="I107" s="71"/>
      <c r="J107" s="129"/>
      <c r="K107" s="70" t="s">
        <v>1012</v>
      </c>
      <c r="L107" s="130">
        <v>323.51612903225805</v>
      </c>
      <c r="M107" s="75">
        <v>6927.49853515625</v>
      </c>
      <c r="N107" s="75">
        <v>326.41339111328125</v>
      </c>
      <c r="O107" s="76"/>
      <c r="P107" s="77"/>
      <c r="Q107" s="77"/>
      <c r="R107" s="131"/>
      <c r="S107" s="48">
        <v>1</v>
      </c>
      <c r="T107" s="48">
        <v>1</v>
      </c>
      <c r="U107" s="49">
        <v>0</v>
      </c>
      <c r="V107" s="49">
        <v>0.333333</v>
      </c>
      <c r="W107" s="49">
        <v>0</v>
      </c>
      <c r="X107" s="49">
        <v>0.770268</v>
      </c>
      <c r="Y107" s="49">
        <v>0</v>
      </c>
      <c r="Z107" s="49">
        <v>1</v>
      </c>
      <c r="AA107" s="72">
        <v>107</v>
      </c>
      <c r="AB107" s="72"/>
      <c r="AC107" s="73"/>
      <c r="AD107" s="80" t="s">
        <v>1012</v>
      </c>
      <c r="AE107" s="80"/>
      <c r="AF107" s="80"/>
      <c r="AG107" s="80"/>
      <c r="AH107" s="80"/>
      <c r="AI107" s="80"/>
      <c r="AJ107" s="84">
        <v>43896.787835648145</v>
      </c>
      <c r="AK107" s="82" t="str">
        <f>HYPERLINK("https://yt3.ggpht.com/a/AATXAJwFyd1Nk0BiqKPQPMv_h07LaMg8gOhN2ffBxg=s88-c-k-c0xffffffff-no-rj-mo")</f>
        <v>https://yt3.ggpht.com/a/AATXAJwFyd1Nk0BiqKPQPMv_h07LaMg8gOhN2ffBxg=s88-c-k-c0xffffffff-no-rj-mo</v>
      </c>
      <c r="AL107" s="80">
        <v>0</v>
      </c>
      <c r="AM107" s="80">
        <v>0</v>
      </c>
      <c r="AN107" s="80">
        <v>0</v>
      </c>
      <c r="AO107" s="80" t="b">
        <v>0</v>
      </c>
      <c r="AP107" s="80">
        <v>0</v>
      </c>
      <c r="AQ107" s="80"/>
      <c r="AR107" s="80"/>
      <c r="AS107" s="80" t="s">
        <v>230</v>
      </c>
      <c r="AT107" s="82" t="str">
        <f>HYPERLINK("https://www.youtube.com/channel/UC7ZGuLte3YMg-CMkBsc_R2A")</f>
        <v>https://www.youtube.com/channel/UC7ZGuLte3YMg-CMkBsc_R2A</v>
      </c>
      <c r="AU107" s="79" t="str">
        <f>REPLACE(INDEX(GroupVertices[Group],MATCH(Vertices[[#This Row],[Vertex]],GroupVertices[Vertex],0)),1,1,"")</f>
        <v>20</v>
      </c>
      <c r="AV107" s="48"/>
      <c r="AW107" s="49"/>
      <c r="AX107" s="48"/>
      <c r="AY107" s="49"/>
      <c r="AZ107" s="48"/>
      <c r="BA107" s="49"/>
      <c r="BB107" s="48"/>
      <c r="BC107" s="49"/>
      <c r="BD107" s="48"/>
      <c r="BE107" s="120" t="s">
        <v>408</v>
      </c>
      <c r="BF107" s="120" t="s">
        <v>408</v>
      </c>
      <c r="BG107" s="120" t="s">
        <v>408</v>
      </c>
      <c r="BH107" s="120" t="s">
        <v>408</v>
      </c>
      <c r="BI107" s="2"/>
      <c r="BJ107" s="3"/>
      <c r="BK107" s="3"/>
      <c r="BL107" s="3"/>
      <c r="BM107" s="3"/>
    </row>
    <row r="108" spans="1:65" ht="15">
      <c r="A108" s="65" t="s">
        <v>551</v>
      </c>
      <c r="B108" s="66"/>
      <c r="C108" s="66"/>
      <c r="D108" s="67">
        <v>466.6666666666667</v>
      </c>
      <c r="E108" s="127"/>
      <c r="F108" s="98" t="str">
        <f>HYPERLINK("https://yt3.ggpht.com/a/AATXAJwgtGfAuTcSfbN83GTQ4lsrHFkIst50NHJ7ug=s88-c-k-c0xffffffff-no-rj-mo")</f>
        <v>https://yt3.ggpht.com/a/AATXAJwgtGfAuTcSfbN83GTQ4lsrHFkIst50NHJ7ug=s88-c-k-c0xffffffff-no-rj-mo</v>
      </c>
      <c r="G108" s="128"/>
      <c r="H108" s="70" t="s">
        <v>1013</v>
      </c>
      <c r="I108" s="71"/>
      <c r="J108" s="129"/>
      <c r="K108" s="70" t="s">
        <v>1013</v>
      </c>
      <c r="L108" s="130">
        <v>323.51612903225805</v>
      </c>
      <c r="M108" s="75">
        <v>7938.0361328125</v>
      </c>
      <c r="N108" s="75">
        <v>1239.54541015625</v>
      </c>
      <c r="O108" s="76"/>
      <c r="P108" s="77"/>
      <c r="Q108" s="77"/>
      <c r="R108" s="131"/>
      <c r="S108" s="48">
        <v>1</v>
      </c>
      <c r="T108" s="48">
        <v>1</v>
      </c>
      <c r="U108" s="49">
        <v>0</v>
      </c>
      <c r="V108" s="49">
        <v>0.333333</v>
      </c>
      <c r="W108" s="49">
        <v>0</v>
      </c>
      <c r="X108" s="49">
        <v>0.770268</v>
      </c>
      <c r="Y108" s="49">
        <v>0</v>
      </c>
      <c r="Z108" s="49">
        <v>1</v>
      </c>
      <c r="AA108" s="72">
        <v>108</v>
      </c>
      <c r="AB108" s="72"/>
      <c r="AC108" s="73"/>
      <c r="AD108" s="80" t="s">
        <v>1013</v>
      </c>
      <c r="AE108" s="80" t="s">
        <v>1357</v>
      </c>
      <c r="AF108" s="80"/>
      <c r="AG108" s="80"/>
      <c r="AH108" s="80"/>
      <c r="AI108" s="80"/>
      <c r="AJ108" s="84">
        <v>43073.73296296296</v>
      </c>
      <c r="AK108" s="82" t="str">
        <f>HYPERLINK("https://yt3.ggpht.com/a/AATXAJwgtGfAuTcSfbN83GTQ4lsrHFkIst50NHJ7ug=s88-c-k-c0xffffffff-no-rj-mo")</f>
        <v>https://yt3.ggpht.com/a/AATXAJwgtGfAuTcSfbN83GTQ4lsrHFkIst50NHJ7ug=s88-c-k-c0xffffffff-no-rj-mo</v>
      </c>
      <c r="AL108" s="80">
        <v>4</v>
      </c>
      <c r="AM108" s="80">
        <v>0</v>
      </c>
      <c r="AN108" s="80">
        <v>89</v>
      </c>
      <c r="AO108" s="80" t="b">
        <v>0</v>
      </c>
      <c r="AP108" s="80">
        <v>1</v>
      </c>
      <c r="AQ108" s="80"/>
      <c r="AR108" s="80"/>
      <c r="AS108" s="80" t="s">
        <v>230</v>
      </c>
      <c r="AT108" s="82" t="str">
        <f>HYPERLINK("https://www.youtube.com/channel/UCXdBdFeLezLwbzJcB_ENyfA")</f>
        <v>https://www.youtube.com/channel/UCXdBdFeLezLwbzJcB_ENyfA</v>
      </c>
      <c r="AU108" s="79" t="str">
        <f>REPLACE(INDEX(GroupVertices[Group],MATCH(Vertices[[#This Row],[Vertex]],GroupVertices[Vertex],0)),1,1,"")</f>
        <v>20</v>
      </c>
      <c r="AV108" s="48">
        <v>4</v>
      </c>
      <c r="AW108" s="49">
        <v>10</v>
      </c>
      <c r="AX108" s="48">
        <v>0</v>
      </c>
      <c r="AY108" s="49">
        <v>0</v>
      </c>
      <c r="AZ108" s="48">
        <v>0</v>
      </c>
      <c r="BA108" s="49">
        <v>0</v>
      </c>
      <c r="BB108" s="48">
        <v>36</v>
      </c>
      <c r="BC108" s="49">
        <v>90</v>
      </c>
      <c r="BD108" s="48">
        <v>40</v>
      </c>
      <c r="BE108" s="120" t="s">
        <v>408</v>
      </c>
      <c r="BF108" s="120" t="s">
        <v>408</v>
      </c>
      <c r="BG108" s="120" t="s">
        <v>408</v>
      </c>
      <c r="BH108" s="120" t="s">
        <v>408</v>
      </c>
      <c r="BI108" s="2"/>
      <c r="BJ108" s="3"/>
      <c r="BK108" s="3"/>
      <c r="BL108" s="3"/>
      <c r="BM108" s="3"/>
    </row>
    <row r="109" spans="1:65" ht="15">
      <c r="A109" s="65" t="s">
        <v>552</v>
      </c>
      <c r="B109" s="66"/>
      <c r="C109" s="66"/>
      <c r="D109" s="67">
        <v>200</v>
      </c>
      <c r="E109" s="127"/>
      <c r="F109" s="98" t="str">
        <f>HYPERLINK("https://yt3.ggpht.com/a/AATXAJwNoCV8NdT206EYCLoILpNumAvlxTCJBBvvmg=s88-c-k-c0xffffffff-no-rj-mo")</f>
        <v>https://yt3.ggpht.com/a/AATXAJwNoCV8NdT206EYCLoILpNumAvlxTCJBBvvmg=s88-c-k-c0xffffffff-no-rj-mo</v>
      </c>
      <c r="G109" s="128"/>
      <c r="H109" s="70" t="s">
        <v>1014</v>
      </c>
      <c r="I109" s="71"/>
      <c r="J109" s="129"/>
      <c r="K109" s="70" t="s">
        <v>1014</v>
      </c>
      <c r="L109" s="130">
        <v>1</v>
      </c>
      <c r="M109" s="75">
        <v>8307.0146484375</v>
      </c>
      <c r="N109" s="75">
        <v>1947.1192626953125</v>
      </c>
      <c r="O109" s="76"/>
      <c r="P109" s="77"/>
      <c r="Q109" s="77"/>
      <c r="R109" s="131"/>
      <c r="S109" s="48">
        <v>0</v>
      </c>
      <c r="T109" s="48">
        <v>1</v>
      </c>
      <c r="U109" s="49">
        <v>0</v>
      </c>
      <c r="V109" s="49">
        <v>0.006135</v>
      </c>
      <c r="W109" s="49">
        <v>0.004057</v>
      </c>
      <c r="X109" s="49">
        <v>0.555655</v>
      </c>
      <c r="Y109" s="49">
        <v>0</v>
      </c>
      <c r="Z109" s="49">
        <v>0</v>
      </c>
      <c r="AA109" s="72">
        <v>109</v>
      </c>
      <c r="AB109" s="72"/>
      <c r="AC109" s="73"/>
      <c r="AD109" s="80" t="s">
        <v>1014</v>
      </c>
      <c r="AE109" s="80"/>
      <c r="AF109" s="80"/>
      <c r="AG109" s="80"/>
      <c r="AH109" s="80"/>
      <c r="AI109" s="80"/>
      <c r="AJ109" s="84">
        <v>38901.667037037034</v>
      </c>
      <c r="AK109" s="82" t="str">
        <f>HYPERLINK("https://yt3.ggpht.com/a/AATXAJwNoCV8NdT206EYCLoILpNumAvlxTCJBBvvmg=s88-c-k-c0xffffffff-no-rj-mo")</f>
        <v>https://yt3.ggpht.com/a/AATXAJwNoCV8NdT206EYCLoILpNumAvlxTCJBBvvmg=s88-c-k-c0xffffffff-no-rj-mo</v>
      </c>
      <c r="AL109" s="80">
        <v>0</v>
      </c>
      <c r="AM109" s="80">
        <v>0</v>
      </c>
      <c r="AN109" s="80">
        <v>0</v>
      </c>
      <c r="AO109" s="80" t="b">
        <v>0</v>
      </c>
      <c r="AP109" s="80">
        <v>0</v>
      </c>
      <c r="AQ109" s="80"/>
      <c r="AR109" s="80"/>
      <c r="AS109" s="80" t="s">
        <v>230</v>
      </c>
      <c r="AT109" s="82" t="str">
        <f>HYPERLINK("https://www.youtube.com/channel/UCqop8tlrCuuuczAfxrR5j1A")</f>
        <v>https://www.youtube.com/channel/UCqop8tlrCuuuczAfxrR5j1A</v>
      </c>
      <c r="AU109" s="79" t="str">
        <f>REPLACE(INDEX(GroupVertices[Group],MATCH(Vertices[[#This Row],[Vertex]],GroupVertices[Vertex],0)),1,1,"")</f>
        <v>19</v>
      </c>
      <c r="AV109" s="48"/>
      <c r="AW109" s="49"/>
      <c r="AX109" s="48"/>
      <c r="AY109" s="49"/>
      <c r="AZ109" s="48"/>
      <c r="BA109" s="49"/>
      <c r="BB109" s="48"/>
      <c r="BC109" s="49"/>
      <c r="BD109" s="48"/>
      <c r="BE109" s="120" t="s">
        <v>408</v>
      </c>
      <c r="BF109" s="120" t="s">
        <v>408</v>
      </c>
      <c r="BG109" s="120" t="s">
        <v>408</v>
      </c>
      <c r="BH109" s="120" t="s">
        <v>408</v>
      </c>
      <c r="BI109" s="2"/>
      <c r="BJ109" s="3"/>
      <c r="BK109" s="3"/>
      <c r="BL109" s="3"/>
      <c r="BM109" s="3"/>
    </row>
    <row r="110" spans="1:65" ht="15">
      <c r="A110" s="65" t="s">
        <v>554</v>
      </c>
      <c r="B110" s="66"/>
      <c r="C110" s="66"/>
      <c r="D110" s="67">
        <v>1000</v>
      </c>
      <c r="E110" s="127"/>
      <c r="F110" s="98" t="str">
        <f>HYPERLINK("https://yt3.ggpht.com/a/AATXAJwit8njQMzGG11FOmPlTJi4K_ESCrXHlTfedg=s88-c-k-c0xffffffff-no-rj-mo")</f>
        <v>https://yt3.ggpht.com/a/AATXAJwit8njQMzGG11FOmPlTJi4K_ESCrXHlTfedg=s88-c-k-c0xffffffff-no-rj-mo</v>
      </c>
      <c r="G110" s="128"/>
      <c r="H110" s="70" t="s">
        <v>1016</v>
      </c>
      <c r="I110" s="71"/>
      <c r="J110" s="129"/>
      <c r="K110" s="70" t="s">
        <v>1016</v>
      </c>
      <c r="L110" s="130">
        <v>968.5483870967741</v>
      </c>
      <c r="M110" s="75">
        <v>8307.0146484375</v>
      </c>
      <c r="N110" s="75">
        <v>1378.9942626953125</v>
      </c>
      <c r="O110" s="76"/>
      <c r="P110" s="77"/>
      <c r="Q110" s="77"/>
      <c r="R110" s="131"/>
      <c r="S110" s="48">
        <v>3</v>
      </c>
      <c r="T110" s="48">
        <v>1</v>
      </c>
      <c r="U110" s="49">
        <v>194</v>
      </c>
      <c r="V110" s="49">
        <v>0.008772</v>
      </c>
      <c r="W110" s="49">
        <v>0.023825</v>
      </c>
      <c r="X110" s="49">
        <v>1.431725</v>
      </c>
      <c r="Y110" s="49">
        <v>0</v>
      </c>
      <c r="Z110" s="49">
        <v>0.3333333333333333</v>
      </c>
      <c r="AA110" s="72">
        <v>110</v>
      </c>
      <c r="AB110" s="72"/>
      <c r="AC110" s="73"/>
      <c r="AD110" s="80" t="s">
        <v>1016</v>
      </c>
      <c r="AE110" s="80"/>
      <c r="AF110" s="80"/>
      <c r="AG110" s="80"/>
      <c r="AH110" s="80"/>
      <c r="AI110" s="80"/>
      <c r="AJ110" s="84">
        <v>43685.61493055556</v>
      </c>
      <c r="AK110" s="82" t="str">
        <f>HYPERLINK("https://yt3.ggpht.com/a/AATXAJwit8njQMzGG11FOmPlTJi4K_ESCrXHlTfedg=s88-c-k-c0xffffffff-no-rj-mo")</f>
        <v>https://yt3.ggpht.com/a/AATXAJwit8njQMzGG11FOmPlTJi4K_ESCrXHlTfedg=s88-c-k-c0xffffffff-no-rj-mo</v>
      </c>
      <c r="AL110" s="80">
        <v>0</v>
      </c>
      <c r="AM110" s="80">
        <v>0</v>
      </c>
      <c r="AN110" s="80">
        <v>0</v>
      </c>
      <c r="AO110" s="80" t="b">
        <v>0</v>
      </c>
      <c r="AP110" s="80">
        <v>0</v>
      </c>
      <c r="AQ110" s="80"/>
      <c r="AR110" s="80"/>
      <c r="AS110" s="80" t="s">
        <v>230</v>
      </c>
      <c r="AT110" s="82" t="str">
        <f>HYPERLINK("https://www.youtube.com/channel/UCDRa3hAzNSyCXYMm6zncajQ")</f>
        <v>https://www.youtube.com/channel/UCDRa3hAzNSyCXYMm6zncajQ</v>
      </c>
      <c r="AU110" s="79" t="str">
        <f>REPLACE(INDEX(GroupVertices[Group],MATCH(Vertices[[#This Row],[Vertex]],GroupVertices[Vertex],0)),1,1,"")</f>
        <v>19</v>
      </c>
      <c r="AV110" s="48"/>
      <c r="AW110" s="49"/>
      <c r="AX110" s="48"/>
      <c r="AY110" s="49"/>
      <c r="AZ110" s="48"/>
      <c r="BA110" s="49"/>
      <c r="BB110" s="48"/>
      <c r="BC110" s="49"/>
      <c r="BD110" s="48"/>
      <c r="BE110" s="120" t="s">
        <v>408</v>
      </c>
      <c r="BF110" s="120" t="s">
        <v>408</v>
      </c>
      <c r="BG110" s="120" t="s">
        <v>408</v>
      </c>
      <c r="BH110" s="120" t="s">
        <v>408</v>
      </c>
      <c r="BI110" s="2"/>
      <c r="BJ110" s="3"/>
      <c r="BK110" s="3"/>
      <c r="BL110" s="3"/>
      <c r="BM110" s="3"/>
    </row>
    <row r="111" spans="1:65" ht="15">
      <c r="A111" s="65" t="s">
        <v>553</v>
      </c>
      <c r="B111" s="66"/>
      <c r="C111" s="66"/>
      <c r="D111" s="67">
        <v>200</v>
      </c>
      <c r="E111" s="127"/>
      <c r="F111" s="98" t="str">
        <f>HYPERLINK("https://yt3.ggpht.com/a/AATXAJzb0RMUz5aIz7WbfwftVJ95NCce3gqHniRCnw=s88-c-k-c0xffffffff-no-rj-mo")</f>
        <v>https://yt3.ggpht.com/a/AATXAJzb0RMUz5aIz7WbfwftVJ95NCce3gqHniRCnw=s88-c-k-c0xffffffff-no-rj-mo</v>
      </c>
      <c r="G111" s="128"/>
      <c r="H111" s="70" t="s">
        <v>1015</v>
      </c>
      <c r="I111" s="71"/>
      <c r="J111" s="129"/>
      <c r="K111" s="70" t="s">
        <v>1015</v>
      </c>
      <c r="L111" s="130">
        <v>1</v>
      </c>
      <c r="M111" s="75">
        <v>8779.0419921875</v>
      </c>
      <c r="N111" s="75">
        <v>1947.1192626953125</v>
      </c>
      <c r="O111" s="76"/>
      <c r="P111" s="77"/>
      <c r="Q111" s="77"/>
      <c r="R111" s="131"/>
      <c r="S111" s="48">
        <v>0</v>
      </c>
      <c r="T111" s="48">
        <v>1</v>
      </c>
      <c r="U111" s="49">
        <v>0</v>
      </c>
      <c r="V111" s="49">
        <v>0.006135</v>
      </c>
      <c r="W111" s="49">
        <v>0.004057</v>
      </c>
      <c r="X111" s="49">
        <v>0.555655</v>
      </c>
      <c r="Y111" s="49">
        <v>0</v>
      </c>
      <c r="Z111" s="49">
        <v>0</v>
      </c>
      <c r="AA111" s="72">
        <v>111</v>
      </c>
      <c r="AB111" s="72"/>
      <c r="AC111" s="73"/>
      <c r="AD111" s="80" t="s">
        <v>1015</v>
      </c>
      <c r="AE111" s="80"/>
      <c r="AF111" s="80"/>
      <c r="AG111" s="80"/>
      <c r="AH111" s="80"/>
      <c r="AI111" s="80"/>
      <c r="AJ111" s="84">
        <v>40661.60265046296</v>
      </c>
      <c r="AK111" s="82" t="str">
        <f>HYPERLINK("https://yt3.ggpht.com/a/AATXAJzb0RMUz5aIz7WbfwftVJ95NCce3gqHniRCnw=s88-c-k-c0xffffffff-no-rj-mo")</f>
        <v>https://yt3.ggpht.com/a/AATXAJzb0RMUz5aIz7WbfwftVJ95NCce3gqHniRCnw=s88-c-k-c0xffffffff-no-rj-mo</v>
      </c>
      <c r="AL111" s="80">
        <v>0</v>
      </c>
      <c r="AM111" s="80">
        <v>0</v>
      </c>
      <c r="AN111" s="80">
        <v>0</v>
      </c>
      <c r="AO111" s="80" t="b">
        <v>0</v>
      </c>
      <c r="AP111" s="80">
        <v>0</v>
      </c>
      <c r="AQ111" s="80"/>
      <c r="AR111" s="80"/>
      <c r="AS111" s="80" t="s">
        <v>230</v>
      </c>
      <c r="AT111" s="82" t="str">
        <f>HYPERLINK("https://www.youtube.com/channel/UCfth7ICp0EaKM6YyQPjvoOg")</f>
        <v>https://www.youtube.com/channel/UCfth7ICp0EaKM6YyQPjvoOg</v>
      </c>
      <c r="AU111" s="79" t="str">
        <f>REPLACE(INDEX(GroupVertices[Group],MATCH(Vertices[[#This Row],[Vertex]],GroupVertices[Vertex],0)),1,1,"")</f>
        <v>19</v>
      </c>
      <c r="AV111" s="48"/>
      <c r="AW111" s="49"/>
      <c r="AX111" s="48"/>
      <c r="AY111" s="49"/>
      <c r="AZ111" s="48"/>
      <c r="BA111" s="49"/>
      <c r="BB111" s="48"/>
      <c r="BC111" s="49"/>
      <c r="BD111" s="48"/>
      <c r="BE111" s="120" t="s">
        <v>408</v>
      </c>
      <c r="BF111" s="120" t="s">
        <v>408</v>
      </c>
      <c r="BG111" s="120" t="s">
        <v>408</v>
      </c>
      <c r="BH111" s="120" t="s">
        <v>408</v>
      </c>
      <c r="BI111" s="2"/>
      <c r="BJ111" s="3"/>
      <c r="BK111" s="3"/>
      <c r="BL111" s="3"/>
      <c r="BM111" s="3"/>
    </row>
    <row r="112" spans="1:65" ht="15">
      <c r="A112" s="65" t="s">
        <v>555</v>
      </c>
      <c r="B112" s="66"/>
      <c r="C112" s="66"/>
      <c r="D112" s="67">
        <v>466.6666666666667</v>
      </c>
      <c r="E112" s="127"/>
      <c r="F112" s="98" t="str">
        <f>HYPERLINK("https://yt3.ggpht.com/a/AATXAJy351551gGs6XrQ7P6ve2yEu0UkDO038lih4g=s88-c-k-c0xffffffff-no-rj-mo")</f>
        <v>https://yt3.ggpht.com/a/AATXAJy351551gGs6XrQ7P6ve2yEu0UkDO038lih4g=s88-c-k-c0xffffffff-no-rj-mo</v>
      </c>
      <c r="G112" s="128"/>
      <c r="H112" s="70" t="s">
        <v>1017</v>
      </c>
      <c r="I112" s="71"/>
      <c r="J112" s="129"/>
      <c r="K112" s="70" t="s">
        <v>1017</v>
      </c>
      <c r="L112" s="130">
        <v>323.51612903225805</v>
      </c>
      <c r="M112" s="75">
        <v>2164.922607421875</v>
      </c>
      <c r="N112" s="75">
        <v>1195.46142578125</v>
      </c>
      <c r="O112" s="76"/>
      <c r="P112" s="77"/>
      <c r="Q112" s="77"/>
      <c r="R112" s="131"/>
      <c r="S112" s="48">
        <v>1</v>
      </c>
      <c r="T112" s="48">
        <v>1</v>
      </c>
      <c r="U112" s="49">
        <v>0</v>
      </c>
      <c r="V112" s="49">
        <v>0.008475</v>
      </c>
      <c r="W112" s="49">
        <v>0.02243</v>
      </c>
      <c r="X112" s="49">
        <v>0.487112</v>
      </c>
      <c r="Y112" s="49">
        <v>0</v>
      </c>
      <c r="Z112" s="49">
        <v>1</v>
      </c>
      <c r="AA112" s="72">
        <v>112</v>
      </c>
      <c r="AB112" s="72"/>
      <c r="AC112" s="73"/>
      <c r="AD112" s="80" t="s">
        <v>1017</v>
      </c>
      <c r="AE112" s="80"/>
      <c r="AF112" s="80"/>
      <c r="AG112" s="80"/>
      <c r="AH112" s="80"/>
      <c r="AI112" s="80"/>
      <c r="AJ112" s="84">
        <v>39914.010625</v>
      </c>
      <c r="AK112" s="82" t="str">
        <f>HYPERLINK("https://yt3.ggpht.com/a/AATXAJy351551gGs6XrQ7P6ve2yEu0UkDO038lih4g=s88-c-k-c0xffffffff-no-rj-mo")</f>
        <v>https://yt3.ggpht.com/a/AATXAJy351551gGs6XrQ7P6ve2yEu0UkDO038lih4g=s88-c-k-c0xffffffff-no-rj-mo</v>
      </c>
      <c r="AL112" s="80">
        <v>0</v>
      </c>
      <c r="AM112" s="80">
        <v>0</v>
      </c>
      <c r="AN112" s="80">
        <v>1</v>
      </c>
      <c r="AO112" s="80" t="b">
        <v>0</v>
      </c>
      <c r="AP112" s="80">
        <v>0</v>
      </c>
      <c r="AQ112" s="80"/>
      <c r="AR112" s="80"/>
      <c r="AS112" s="80" t="s">
        <v>230</v>
      </c>
      <c r="AT112" s="82" t="str">
        <f>HYPERLINK("https://www.youtube.com/channel/UCvr2RftXJBsY7vTlQCmxZaw")</f>
        <v>https://www.youtube.com/channel/UCvr2RftXJBsY7vTlQCmxZaw</v>
      </c>
      <c r="AU112" s="79" t="str">
        <f>REPLACE(INDEX(GroupVertices[Group],MATCH(Vertices[[#This Row],[Vertex]],GroupVertices[Vertex],0)),1,1,"")</f>
        <v>2</v>
      </c>
      <c r="AV112" s="48"/>
      <c r="AW112" s="49"/>
      <c r="AX112" s="48"/>
      <c r="AY112" s="49"/>
      <c r="AZ112" s="48"/>
      <c r="BA112" s="49"/>
      <c r="BB112" s="48"/>
      <c r="BC112" s="49"/>
      <c r="BD112" s="48"/>
      <c r="BE112" s="120" t="s">
        <v>408</v>
      </c>
      <c r="BF112" s="120" t="s">
        <v>408</v>
      </c>
      <c r="BG112" s="120" t="s">
        <v>408</v>
      </c>
      <c r="BH112" s="120" t="s">
        <v>408</v>
      </c>
      <c r="BI112" s="2"/>
      <c r="BJ112" s="3"/>
      <c r="BK112" s="3"/>
      <c r="BL112" s="3"/>
      <c r="BM112" s="3"/>
    </row>
    <row r="113" spans="1:65" ht="15">
      <c r="A113" s="65" t="s">
        <v>556</v>
      </c>
      <c r="B113" s="66"/>
      <c r="C113" s="66"/>
      <c r="D113" s="67">
        <v>466.6666666666667</v>
      </c>
      <c r="E113" s="127"/>
      <c r="F113" s="98" t="str">
        <f>HYPERLINK("https://yt3.ggpht.com/a/AATXAJyld63xRIg492II0a5QZusuiMw4ve3oHUDASQ=s88-c-k-c0xffffffff-no-rj-mo")</f>
        <v>https://yt3.ggpht.com/a/AATXAJyld63xRIg492II0a5QZusuiMw4ve3oHUDASQ=s88-c-k-c0xffffffff-no-rj-mo</v>
      </c>
      <c r="G113" s="128"/>
      <c r="H113" s="70" t="s">
        <v>1018</v>
      </c>
      <c r="I113" s="71"/>
      <c r="J113" s="129"/>
      <c r="K113" s="70" t="s">
        <v>1018</v>
      </c>
      <c r="L113" s="130">
        <v>323.51612903225805</v>
      </c>
      <c r="M113" s="75">
        <v>1468.4248046875</v>
      </c>
      <c r="N113" s="75">
        <v>2805.39208984375</v>
      </c>
      <c r="O113" s="76"/>
      <c r="P113" s="77"/>
      <c r="Q113" s="77"/>
      <c r="R113" s="131"/>
      <c r="S113" s="48">
        <v>1</v>
      </c>
      <c r="T113" s="48">
        <v>1</v>
      </c>
      <c r="U113" s="49">
        <v>0</v>
      </c>
      <c r="V113" s="49">
        <v>0.008475</v>
      </c>
      <c r="W113" s="49">
        <v>0.02243</v>
      </c>
      <c r="X113" s="49">
        <v>0.487112</v>
      </c>
      <c r="Y113" s="49">
        <v>0</v>
      </c>
      <c r="Z113" s="49">
        <v>1</v>
      </c>
      <c r="AA113" s="72">
        <v>113</v>
      </c>
      <c r="AB113" s="72"/>
      <c r="AC113" s="73"/>
      <c r="AD113" s="80" t="s">
        <v>1018</v>
      </c>
      <c r="AE113" s="80"/>
      <c r="AF113" s="80"/>
      <c r="AG113" s="80"/>
      <c r="AH113" s="80"/>
      <c r="AI113" s="80"/>
      <c r="AJ113" s="84">
        <v>41039.71796296296</v>
      </c>
      <c r="AK113" s="82" t="str">
        <f>HYPERLINK("https://yt3.ggpht.com/a/AATXAJyld63xRIg492II0a5QZusuiMw4ve3oHUDASQ=s88-c-k-c0xffffffff-no-rj-mo")</f>
        <v>https://yt3.ggpht.com/a/AATXAJyld63xRIg492II0a5QZusuiMw4ve3oHUDASQ=s88-c-k-c0xffffffff-no-rj-mo</v>
      </c>
      <c r="AL113" s="80">
        <v>0</v>
      </c>
      <c r="AM113" s="80">
        <v>0</v>
      </c>
      <c r="AN113" s="80">
        <v>0</v>
      </c>
      <c r="AO113" s="80" t="b">
        <v>0</v>
      </c>
      <c r="AP113" s="80">
        <v>0</v>
      </c>
      <c r="AQ113" s="80"/>
      <c r="AR113" s="80"/>
      <c r="AS113" s="80" t="s">
        <v>230</v>
      </c>
      <c r="AT113" s="82" t="str">
        <f>HYPERLINK("https://www.youtube.com/channel/UCO7kLxBbcZ-F6jdssKIMfFw")</f>
        <v>https://www.youtube.com/channel/UCO7kLxBbcZ-F6jdssKIMfFw</v>
      </c>
      <c r="AU113" s="79" t="str">
        <f>REPLACE(INDEX(GroupVertices[Group],MATCH(Vertices[[#This Row],[Vertex]],GroupVertices[Vertex],0)),1,1,"")</f>
        <v>2</v>
      </c>
      <c r="AV113" s="48"/>
      <c r="AW113" s="49"/>
      <c r="AX113" s="48"/>
      <c r="AY113" s="49"/>
      <c r="AZ113" s="48"/>
      <c r="BA113" s="49"/>
      <c r="BB113" s="48"/>
      <c r="BC113" s="49"/>
      <c r="BD113" s="48"/>
      <c r="BE113" s="120" t="s">
        <v>408</v>
      </c>
      <c r="BF113" s="120" t="s">
        <v>408</v>
      </c>
      <c r="BG113" s="120" t="s">
        <v>408</v>
      </c>
      <c r="BH113" s="120" t="s">
        <v>408</v>
      </c>
      <c r="BI113" s="2"/>
      <c r="BJ113" s="3"/>
      <c r="BK113" s="3"/>
      <c r="BL113" s="3"/>
      <c r="BM113" s="3"/>
    </row>
    <row r="114" spans="1:65" ht="15">
      <c r="A114" s="65" t="s">
        <v>557</v>
      </c>
      <c r="B114" s="66"/>
      <c r="C114" s="66"/>
      <c r="D114" s="67">
        <v>466.6666666666667</v>
      </c>
      <c r="E114" s="127"/>
      <c r="F114" s="98" t="str">
        <f>HYPERLINK("https://yt3.ggpht.com/a/AATXAJw7O8FIq9LJbn0R0MGee4cpzx6nPcCBQ5Le-A=s88-c-k-c0xffffffff-no-rj-mo")</f>
        <v>https://yt3.ggpht.com/a/AATXAJw7O8FIq9LJbn0R0MGee4cpzx6nPcCBQ5Le-A=s88-c-k-c0xffffffff-no-rj-mo</v>
      </c>
      <c r="G114" s="128"/>
      <c r="H114" s="70" t="s">
        <v>1019</v>
      </c>
      <c r="I114" s="71"/>
      <c r="J114" s="129"/>
      <c r="K114" s="70" t="s">
        <v>1019</v>
      </c>
      <c r="L114" s="130">
        <v>323.51612903225805</v>
      </c>
      <c r="M114" s="75">
        <v>2328.10546875</v>
      </c>
      <c r="N114" s="75">
        <v>2843.0458984375</v>
      </c>
      <c r="O114" s="76"/>
      <c r="P114" s="77"/>
      <c r="Q114" s="77"/>
      <c r="R114" s="131"/>
      <c r="S114" s="48">
        <v>1</v>
      </c>
      <c r="T114" s="48">
        <v>1</v>
      </c>
      <c r="U114" s="49">
        <v>0</v>
      </c>
      <c r="V114" s="49">
        <v>0.008475</v>
      </c>
      <c r="W114" s="49">
        <v>0.02243</v>
      </c>
      <c r="X114" s="49">
        <v>0.487112</v>
      </c>
      <c r="Y114" s="49">
        <v>0</v>
      </c>
      <c r="Z114" s="49">
        <v>1</v>
      </c>
      <c r="AA114" s="72">
        <v>114</v>
      </c>
      <c r="AB114" s="72"/>
      <c r="AC114" s="73"/>
      <c r="AD114" s="80" t="s">
        <v>1019</v>
      </c>
      <c r="AE114" s="80"/>
      <c r="AF114" s="80"/>
      <c r="AG114" s="80"/>
      <c r="AH114" s="80"/>
      <c r="AI114" s="80"/>
      <c r="AJ114" s="84">
        <v>41651.14612268518</v>
      </c>
      <c r="AK114" s="82" t="str">
        <f>HYPERLINK("https://yt3.ggpht.com/a/AATXAJw7O8FIq9LJbn0R0MGee4cpzx6nPcCBQ5Le-A=s88-c-k-c0xffffffff-no-rj-mo")</f>
        <v>https://yt3.ggpht.com/a/AATXAJw7O8FIq9LJbn0R0MGee4cpzx6nPcCBQ5Le-A=s88-c-k-c0xffffffff-no-rj-mo</v>
      </c>
      <c r="AL114" s="80">
        <v>110</v>
      </c>
      <c r="AM114" s="80">
        <v>0</v>
      </c>
      <c r="AN114" s="80">
        <v>1</v>
      </c>
      <c r="AO114" s="80" t="b">
        <v>0</v>
      </c>
      <c r="AP114" s="80">
        <v>1</v>
      </c>
      <c r="AQ114" s="80"/>
      <c r="AR114" s="80"/>
      <c r="AS114" s="80" t="s">
        <v>230</v>
      </c>
      <c r="AT114" s="82" t="str">
        <f>HYPERLINK("https://www.youtube.com/channel/UCFiPHO5NgaQdVggOroJP_nw")</f>
        <v>https://www.youtube.com/channel/UCFiPHO5NgaQdVggOroJP_nw</v>
      </c>
      <c r="AU114" s="79" t="str">
        <f>REPLACE(INDEX(GroupVertices[Group],MATCH(Vertices[[#This Row],[Vertex]],GroupVertices[Vertex],0)),1,1,"")</f>
        <v>2</v>
      </c>
      <c r="AV114" s="48"/>
      <c r="AW114" s="49"/>
      <c r="AX114" s="48"/>
      <c r="AY114" s="49"/>
      <c r="AZ114" s="48"/>
      <c r="BA114" s="49"/>
      <c r="BB114" s="48"/>
      <c r="BC114" s="49"/>
      <c r="BD114" s="48"/>
      <c r="BE114" s="120" t="s">
        <v>408</v>
      </c>
      <c r="BF114" s="120" t="s">
        <v>408</v>
      </c>
      <c r="BG114" s="120" t="s">
        <v>408</v>
      </c>
      <c r="BH114" s="120" t="s">
        <v>408</v>
      </c>
      <c r="BI114" s="2"/>
      <c r="BJ114" s="3"/>
      <c r="BK114" s="3"/>
      <c r="BL114" s="3"/>
      <c r="BM114" s="3"/>
    </row>
    <row r="115" spans="1:65" ht="15">
      <c r="A115" s="65" t="s">
        <v>558</v>
      </c>
      <c r="B115" s="66"/>
      <c r="C115" s="66"/>
      <c r="D115" s="67">
        <v>466.6666666666667</v>
      </c>
      <c r="E115" s="127"/>
      <c r="F115" s="98" t="str">
        <f>HYPERLINK("https://yt3.ggpht.com/a/AATXAJwVEJiVWl8xhvxifhgi_BDMy1iBh4RP8jEWkA=s88-c-k-c0xffffffff-no-rj-mo")</f>
        <v>https://yt3.ggpht.com/a/AATXAJwVEJiVWl8xhvxifhgi_BDMy1iBh4RP8jEWkA=s88-c-k-c0xffffffff-no-rj-mo</v>
      </c>
      <c r="G115" s="128"/>
      <c r="H115" s="70" t="s">
        <v>1020</v>
      </c>
      <c r="I115" s="71"/>
      <c r="J115" s="129"/>
      <c r="K115" s="70" t="s">
        <v>1020</v>
      </c>
      <c r="L115" s="130">
        <v>323.51612903225805</v>
      </c>
      <c r="M115" s="75">
        <v>2452.853759765625</v>
      </c>
      <c r="N115" s="75">
        <v>1373.9354248046875</v>
      </c>
      <c r="O115" s="76"/>
      <c r="P115" s="77"/>
      <c r="Q115" s="77"/>
      <c r="R115" s="131"/>
      <c r="S115" s="48">
        <v>1</v>
      </c>
      <c r="T115" s="48">
        <v>1</v>
      </c>
      <c r="U115" s="49">
        <v>0</v>
      </c>
      <c r="V115" s="49">
        <v>0.008475</v>
      </c>
      <c r="W115" s="49">
        <v>0.02243</v>
      </c>
      <c r="X115" s="49">
        <v>0.487112</v>
      </c>
      <c r="Y115" s="49">
        <v>0</v>
      </c>
      <c r="Z115" s="49">
        <v>1</v>
      </c>
      <c r="AA115" s="72">
        <v>115</v>
      </c>
      <c r="AB115" s="72"/>
      <c r="AC115" s="73"/>
      <c r="AD115" s="80" t="s">
        <v>1020</v>
      </c>
      <c r="AE115" s="80"/>
      <c r="AF115" s="80"/>
      <c r="AG115" s="80"/>
      <c r="AH115" s="80"/>
      <c r="AI115" s="80" t="s">
        <v>1417</v>
      </c>
      <c r="AJ115" s="84">
        <v>39569.61547453704</v>
      </c>
      <c r="AK115" s="82" t="str">
        <f>HYPERLINK("https://yt3.ggpht.com/a/AATXAJwVEJiVWl8xhvxifhgi_BDMy1iBh4RP8jEWkA=s88-c-k-c0xffffffff-no-rj-mo")</f>
        <v>https://yt3.ggpht.com/a/AATXAJwVEJiVWl8xhvxifhgi_BDMy1iBh4RP8jEWkA=s88-c-k-c0xffffffff-no-rj-mo</v>
      </c>
      <c r="AL115" s="80">
        <v>0</v>
      </c>
      <c r="AM115" s="80">
        <v>0</v>
      </c>
      <c r="AN115" s="80">
        <v>0</v>
      </c>
      <c r="AO115" s="80" t="b">
        <v>0</v>
      </c>
      <c r="AP115" s="80">
        <v>0</v>
      </c>
      <c r="AQ115" s="80"/>
      <c r="AR115" s="80"/>
      <c r="AS115" s="80" t="s">
        <v>230</v>
      </c>
      <c r="AT115" s="82" t="str">
        <f>HYPERLINK("https://www.youtube.com/channel/UCQSAWg2c-QMRHUyywmilREQ")</f>
        <v>https://www.youtube.com/channel/UCQSAWg2c-QMRHUyywmilREQ</v>
      </c>
      <c r="AU115" s="79" t="str">
        <f>REPLACE(INDEX(GroupVertices[Group],MATCH(Vertices[[#This Row],[Vertex]],GroupVertices[Vertex],0)),1,1,"")</f>
        <v>2</v>
      </c>
      <c r="AV115" s="48"/>
      <c r="AW115" s="49"/>
      <c r="AX115" s="48"/>
      <c r="AY115" s="49"/>
      <c r="AZ115" s="48"/>
      <c r="BA115" s="49"/>
      <c r="BB115" s="48"/>
      <c r="BC115" s="49"/>
      <c r="BD115" s="48"/>
      <c r="BE115" s="120" t="s">
        <v>408</v>
      </c>
      <c r="BF115" s="120" t="s">
        <v>408</v>
      </c>
      <c r="BG115" s="120" t="s">
        <v>408</v>
      </c>
      <c r="BH115" s="120" t="s">
        <v>408</v>
      </c>
      <c r="BI115" s="2"/>
      <c r="BJ115" s="3"/>
      <c r="BK115" s="3"/>
      <c r="BL115" s="3"/>
      <c r="BM115" s="3"/>
    </row>
    <row r="116" spans="1:65" ht="15">
      <c r="A116" s="65" t="s">
        <v>559</v>
      </c>
      <c r="B116" s="66"/>
      <c r="C116" s="66"/>
      <c r="D116" s="67">
        <v>466.6666666666667</v>
      </c>
      <c r="E116" s="127"/>
      <c r="F116" s="98" t="str">
        <f>HYPERLINK("https://yt3.ggpht.com/a/AATXAJz4qKyDkefZdQTJ5D_87sKSd_b2gxTchwAP3A=s88-c-k-c0xffffffff-no-rj-mo")</f>
        <v>https://yt3.ggpht.com/a/AATXAJz4qKyDkefZdQTJ5D_87sKSd_b2gxTchwAP3A=s88-c-k-c0xffffffff-no-rj-mo</v>
      </c>
      <c r="G116" s="128"/>
      <c r="H116" s="70" t="s">
        <v>1021</v>
      </c>
      <c r="I116" s="71"/>
      <c r="J116" s="129"/>
      <c r="K116" s="70" t="s">
        <v>1021</v>
      </c>
      <c r="L116" s="130">
        <v>323.51612903225805</v>
      </c>
      <c r="M116" s="75">
        <v>1168.2222900390625</v>
      </c>
      <c r="N116" s="75">
        <v>1748.47607421875</v>
      </c>
      <c r="O116" s="76"/>
      <c r="P116" s="77"/>
      <c r="Q116" s="77"/>
      <c r="R116" s="131"/>
      <c r="S116" s="48">
        <v>1</v>
      </c>
      <c r="T116" s="48">
        <v>1</v>
      </c>
      <c r="U116" s="49">
        <v>0</v>
      </c>
      <c r="V116" s="49">
        <v>0.008475</v>
      </c>
      <c r="W116" s="49">
        <v>0.02243</v>
      </c>
      <c r="X116" s="49">
        <v>0.487112</v>
      </c>
      <c r="Y116" s="49">
        <v>0</v>
      </c>
      <c r="Z116" s="49">
        <v>1</v>
      </c>
      <c r="AA116" s="72">
        <v>116</v>
      </c>
      <c r="AB116" s="72"/>
      <c r="AC116" s="73"/>
      <c r="AD116" s="80" t="s">
        <v>1021</v>
      </c>
      <c r="AE116" s="80"/>
      <c r="AF116" s="80"/>
      <c r="AG116" s="80"/>
      <c r="AH116" s="80"/>
      <c r="AI116" s="80" t="s">
        <v>1418</v>
      </c>
      <c r="AJ116" s="84">
        <v>41549.99017361111</v>
      </c>
      <c r="AK116" s="82" t="str">
        <f>HYPERLINK("https://yt3.ggpht.com/a/AATXAJz4qKyDkefZdQTJ5D_87sKSd_b2gxTchwAP3A=s88-c-k-c0xffffffff-no-rj-mo")</f>
        <v>https://yt3.ggpht.com/a/AATXAJz4qKyDkefZdQTJ5D_87sKSd_b2gxTchwAP3A=s88-c-k-c0xffffffff-no-rj-mo</v>
      </c>
      <c r="AL116" s="80">
        <v>0</v>
      </c>
      <c r="AM116" s="80">
        <v>0</v>
      </c>
      <c r="AN116" s="80">
        <v>0</v>
      </c>
      <c r="AO116" s="80" t="b">
        <v>0</v>
      </c>
      <c r="AP116" s="80">
        <v>0</v>
      </c>
      <c r="AQ116" s="80"/>
      <c r="AR116" s="80"/>
      <c r="AS116" s="80" t="s">
        <v>230</v>
      </c>
      <c r="AT116" s="82" t="str">
        <f>HYPERLINK("https://www.youtube.com/channel/UCtlTqmbJidEUZFkxHptY1FA")</f>
        <v>https://www.youtube.com/channel/UCtlTqmbJidEUZFkxHptY1FA</v>
      </c>
      <c r="AU116" s="79" t="str">
        <f>REPLACE(INDEX(GroupVertices[Group],MATCH(Vertices[[#This Row],[Vertex]],GroupVertices[Vertex],0)),1,1,"")</f>
        <v>2</v>
      </c>
      <c r="AV116" s="48"/>
      <c r="AW116" s="49"/>
      <c r="AX116" s="48"/>
      <c r="AY116" s="49"/>
      <c r="AZ116" s="48"/>
      <c r="BA116" s="49"/>
      <c r="BB116" s="48"/>
      <c r="BC116" s="49"/>
      <c r="BD116" s="48"/>
      <c r="BE116" s="120" t="s">
        <v>408</v>
      </c>
      <c r="BF116" s="120" t="s">
        <v>408</v>
      </c>
      <c r="BG116" s="120" t="s">
        <v>408</v>
      </c>
      <c r="BH116" s="120" t="s">
        <v>408</v>
      </c>
      <c r="BI116" s="2"/>
      <c r="BJ116" s="3"/>
      <c r="BK116" s="3"/>
      <c r="BL116" s="3"/>
      <c r="BM116" s="3"/>
    </row>
    <row r="117" spans="1:65" ht="15">
      <c r="A117" s="65" t="s">
        <v>560</v>
      </c>
      <c r="B117" s="66"/>
      <c r="C117" s="66"/>
      <c r="D117" s="67">
        <v>466.6666666666667</v>
      </c>
      <c r="E117" s="127"/>
      <c r="F117" s="98" t="str">
        <f>HYPERLINK("https://yt3.ggpht.com/a/AATXAJwzfDqMgRBv8rR2KfGGol84uj3I9AJK8LADbw=s88-c-k-c0xffffffff-no-rj-mo")</f>
        <v>https://yt3.ggpht.com/a/AATXAJwzfDqMgRBv8rR2KfGGol84uj3I9AJK8LADbw=s88-c-k-c0xffffffff-no-rj-mo</v>
      </c>
      <c r="G117" s="128"/>
      <c r="H117" s="70" t="s">
        <v>1022</v>
      </c>
      <c r="I117" s="71"/>
      <c r="J117" s="129"/>
      <c r="K117" s="70" t="s">
        <v>1022</v>
      </c>
      <c r="L117" s="130">
        <v>323.51612903225805</v>
      </c>
      <c r="M117" s="75">
        <v>2792.087646484375</v>
      </c>
      <c r="N117" s="75">
        <v>2150.804931640625</v>
      </c>
      <c r="O117" s="76"/>
      <c r="P117" s="77"/>
      <c r="Q117" s="77"/>
      <c r="R117" s="131"/>
      <c r="S117" s="48">
        <v>1</v>
      </c>
      <c r="T117" s="48">
        <v>1</v>
      </c>
      <c r="U117" s="49">
        <v>0</v>
      </c>
      <c r="V117" s="49">
        <v>0.008475</v>
      </c>
      <c r="W117" s="49">
        <v>0.02243</v>
      </c>
      <c r="X117" s="49">
        <v>0.487112</v>
      </c>
      <c r="Y117" s="49">
        <v>0</v>
      </c>
      <c r="Z117" s="49">
        <v>1</v>
      </c>
      <c r="AA117" s="72">
        <v>117</v>
      </c>
      <c r="AB117" s="72"/>
      <c r="AC117" s="73"/>
      <c r="AD117" s="80" t="s">
        <v>1022</v>
      </c>
      <c r="AE117" s="80"/>
      <c r="AF117" s="80"/>
      <c r="AG117" s="80"/>
      <c r="AH117" s="80"/>
      <c r="AI117" s="80"/>
      <c r="AJ117" s="84">
        <v>43945.88487268519</v>
      </c>
      <c r="AK117" s="82" t="str">
        <f>HYPERLINK("https://yt3.ggpht.com/a/AATXAJwzfDqMgRBv8rR2KfGGol84uj3I9AJK8LADbw=s88-c-k-c0xffffffff-no-rj-mo")</f>
        <v>https://yt3.ggpht.com/a/AATXAJwzfDqMgRBv8rR2KfGGol84uj3I9AJK8LADbw=s88-c-k-c0xffffffff-no-rj-mo</v>
      </c>
      <c r="AL117" s="80">
        <v>0</v>
      </c>
      <c r="AM117" s="80">
        <v>0</v>
      </c>
      <c r="AN117" s="80">
        <v>0</v>
      </c>
      <c r="AO117" s="80" t="b">
        <v>0</v>
      </c>
      <c r="AP117" s="80">
        <v>0</v>
      </c>
      <c r="AQ117" s="80"/>
      <c r="AR117" s="80"/>
      <c r="AS117" s="80" t="s">
        <v>230</v>
      </c>
      <c r="AT117" s="82" t="str">
        <f>HYPERLINK("https://www.youtube.com/channel/UCYyKfXHo6Jho0ICP9TZFZRg")</f>
        <v>https://www.youtube.com/channel/UCYyKfXHo6Jho0ICP9TZFZRg</v>
      </c>
      <c r="AU117" s="79" t="str">
        <f>REPLACE(INDEX(GroupVertices[Group],MATCH(Vertices[[#This Row],[Vertex]],GroupVertices[Vertex],0)),1,1,"")</f>
        <v>2</v>
      </c>
      <c r="AV117" s="48"/>
      <c r="AW117" s="49"/>
      <c r="AX117" s="48"/>
      <c r="AY117" s="49"/>
      <c r="AZ117" s="48"/>
      <c r="BA117" s="49"/>
      <c r="BB117" s="48"/>
      <c r="BC117" s="49"/>
      <c r="BD117" s="48"/>
      <c r="BE117" s="120" t="s">
        <v>408</v>
      </c>
      <c r="BF117" s="120" t="s">
        <v>408</v>
      </c>
      <c r="BG117" s="120" t="s">
        <v>408</v>
      </c>
      <c r="BH117" s="120" t="s">
        <v>408</v>
      </c>
      <c r="BI117" s="2"/>
      <c r="BJ117" s="3"/>
      <c r="BK117" s="3"/>
      <c r="BL117" s="3"/>
      <c r="BM117" s="3"/>
    </row>
    <row r="118" spans="1:65" ht="15">
      <c r="A118" s="65" t="s">
        <v>561</v>
      </c>
      <c r="B118" s="66"/>
      <c r="C118" s="66"/>
      <c r="D118" s="67">
        <v>466.6666666666667</v>
      </c>
      <c r="E118" s="127"/>
      <c r="F118" s="98" t="str">
        <f>HYPERLINK("https://yt3.ggpht.com/a/AATXAJzgdEv-hibYy_gXqNYhZbPcEL17IW-yJ1WV_Q=s88-c-k-c0xffffffff-no-rj-mo")</f>
        <v>https://yt3.ggpht.com/a/AATXAJzgdEv-hibYy_gXqNYhZbPcEL17IW-yJ1WV_Q=s88-c-k-c0xffffffff-no-rj-mo</v>
      </c>
      <c r="G118" s="128"/>
      <c r="H118" s="70" t="s">
        <v>1023</v>
      </c>
      <c r="I118" s="71"/>
      <c r="J118" s="129"/>
      <c r="K118" s="70" t="s">
        <v>1023</v>
      </c>
      <c r="L118" s="130">
        <v>323.51612903225805</v>
      </c>
      <c r="M118" s="75">
        <v>2411.270263671875</v>
      </c>
      <c r="N118" s="75">
        <v>1754.896728515625</v>
      </c>
      <c r="O118" s="76"/>
      <c r="P118" s="77"/>
      <c r="Q118" s="77"/>
      <c r="R118" s="131"/>
      <c r="S118" s="48">
        <v>1</v>
      </c>
      <c r="T118" s="48">
        <v>1</v>
      </c>
      <c r="U118" s="49">
        <v>0</v>
      </c>
      <c r="V118" s="49">
        <v>0.008475</v>
      </c>
      <c r="W118" s="49">
        <v>0.02243</v>
      </c>
      <c r="X118" s="49">
        <v>0.487112</v>
      </c>
      <c r="Y118" s="49">
        <v>0</v>
      </c>
      <c r="Z118" s="49">
        <v>1</v>
      </c>
      <c r="AA118" s="72">
        <v>118</v>
      </c>
      <c r="AB118" s="72"/>
      <c r="AC118" s="73"/>
      <c r="AD118" s="80" t="s">
        <v>1023</v>
      </c>
      <c r="AE118" s="80"/>
      <c r="AF118" s="80"/>
      <c r="AG118" s="80"/>
      <c r="AH118" s="80"/>
      <c r="AI118" s="80"/>
      <c r="AJ118" s="84">
        <v>41085.93409722222</v>
      </c>
      <c r="AK118" s="82" t="str">
        <f>HYPERLINK("https://yt3.ggpht.com/a/AATXAJzgdEv-hibYy_gXqNYhZbPcEL17IW-yJ1WV_Q=s88-c-k-c0xffffffff-no-rj-mo")</f>
        <v>https://yt3.ggpht.com/a/AATXAJzgdEv-hibYy_gXqNYhZbPcEL17IW-yJ1WV_Q=s88-c-k-c0xffffffff-no-rj-mo</v>
      </c>
      <c r="AL118" s="80">
        <v>0</v>
      </c>
      <c r="AM118" s="80">
        <v>0</v>
      </c>
      <c r="AN118" s="80">
        <v>0</v>
      </c>
      <c r="AO118" s="80" t="b">
        <v>0</v>
      </c>
      <c r="AP118" s="80">
        <v>0</v>
      </c>
      <c r="AQ118" s="80"/>
      <c r="AR118" s="80"/>
      <c r="AS118" s="80" t="s">
        <v>230</v>
      </c>
      <c r="AT118" s="82" t="str">
        <f>HYPERLINK("https://www.youtube.com/channel/UCHVkfQ6eBHYzyRh0LLjpNpg")</f>
        <v>https://www.youtube.com/channel/UCHVkfQ6eBHYzyRh0LLjpNpg</v>
      </c>
      <c r="AU118" s="79" t="str">
        <f>REPLACE(INDEX(GroupVertices[Group],MATCH(Vertices[[#This Row],[Vertex]],GroupVertices[Vertex],0)),1,1,"")</f>
        <v>2</v>
      </c>
      <c r="AV118" s="48"/>
      <c r="AW118" s="49"/>
      <c r="AX118" s="48"/>
      <c r="AY118" s="49"/>
      <c r="AZ118" s="48"/>
      <c r="BA118" s="49"/>
      <c r="BB118" s="48"/>
      <c r="BC118" s="49"/>
      <c r="BD118" s="48"/>
      <c r="BE118" s="120" t="s">
        <v>408</v>
      </c>
      <c r="BF118" s="120" t="s">
        <v>408</v>
      </c>
      <c r="BG118" s="120" t="s">
        <v>408</v>
      </c>
      <c r="BH118" s="120" t="s">
        <v>408</v>
      </c>
      <c r="BI118" s="2"/>
      <c r="BJ118" s="3"/>
      <c r="BK118" s="3"/>
      <c r="BL118" s="3"/>
      <c r="BM118" s="3"/>
    </row>
    <row r="119" spans="1:65" ht="15">
      <c r="A119" s="65" t="s">
        <v>562</v>
      </c>
      <c r="B119" s="66"/>
      <c r="C119" s="66"/>
      <c r="D119" s="67">
        <v>466.6666666666667</v>
      </c>
      <c r="E119" s="127"/>
      <c r="F119" s="98" t="str">
        <f>HYPERLINK("https://yt3.ggpht.com/a/AATXAJxxmsY82v7zjPgrTcpSi6OG-OcHcVZslSn4pQ=s88-c-k-c0xffffffff-no-rj-mo")</f>
        <v>https://yt3.ggpht.com/a/AATXAJxxmsY82v7zjPgrTcpSi6OG-OcHcVZslSn4pQ=s88-c-k-c0xffffffff-no-rj-mo</v>
      </c>
      <c r="G119" s="128"/>
      <c r="H119" s="70" t="s">
        <v>1024</v>
      </c>
      <c r="I119" s="71"/>
      <c r="J119" s="129"/>
      <c r="K119" s="70" t="s">
        <v>1024</v>
      </c>
      <c r="L119" s="130">
        <v>323.51612903225805</v>
      </c>
      <c r="M119" s="75">
        <v>1967.8629150390625</v>
      </c>
      <c r="N119" s="75">
        <v>1622.8955078125</v>
      </c>
      <c r="O119" s="76"/>
      <c r="P119" s="77"/>
      <c r="Q119" s="77"/>
      <c r="R119" s="131"/>
      <c r="S119" s="48">
        <v>1</v>
      </c>
      <c r="T119" s="48">
        <v>1</v>
      </c>
      <c r="U119" s="49">
        <v>0</v>
      </c>
      <c r="V119" s="49">
        <v>0.008475</v>
      </c>
      <c r="W119" s="49">
        <v>0.02243</v>
      </c>
      <c r="X119" s="49">
        <v>0.487112</v>
      </c>
      <c r="Y119" s="49">
        <v>0</v>
      </c>
      <c r="Z119" s="49">
        <v>1</v>
      </c>
      <c r="AA119" s="72">
        <v>119</v>
      </c>
      <c r="AB119" s="72"/>
      <c r="AC119" s="73"/>
      <c r="AD119" s="80" t="s">
        <v>1024</v>
      </c>
      <c r="AE119" s="80"/>
      <c r="AF119" s="80"/>
      <c r="AG119" s="80"/>
      <c r="AH119" s="80"/>
      <c r="AI119" s="80"/>
      <c r="AJ119" s="84">
        <v>40465.50908564815</v>
      </c>
      <c r="AK119" s="82" t="str">
        <f>HYPERLINK("https://yt3.ggpht.com/a/AATXAJxxmsY82v7zjPgrTcpSi6OG-OcHcVZslSn4pQ=s88-c-k-c0xffffffff-no-rj-mo")</f>
        <v>https://yt3.ggpht.com/a/AATXAJxxmsY82v7zjPgrTcpSi6OG-OcHcVZslSn4pQ=s88-c-k-c0xffffffff-no-rj-mo</v>
      </c>
      <c r="AL119" s="80">
        <v>377</v>
      </c>
      <c r="AM119" s="80">
        <v>0</v>
      </c>
      <c r="AN119" s="80">
        <v>1</v>
      </c>
      <c r="AO119" s="80" t="b">
        <v>0</v>
      </c>
      <c r="AP119" s="80">
        <v>3</v>
      </c>
      <c r="AQ119" s="80"/>
      <c r="AR119" s="80"/>
      <c r="AS119" s="80" t="s">
        <v>230</v>
      </c>
      <c r="AT119" s="82" t="str">
        <f>HYPERLINK("https://www.youtube.com/channel/UCIOXfx8ziM1LrWylHIsrN0Q")</f>
        <v>https://www.youtube.com/channel/UCIOXfx8ziM1LrWylHIsrN0Q</v>
      </c>
      <c r="AU119" s="79" t="str">
        <f>REPLACE(INDEX(GroupVertices[Group],MATCH(Vertices[[#This Row],[Vertex]],GroupVertices[Vertex],0)),1,1,"")</f>
        <v>2</v>
      </c>
      <c r="AV119" s="48"/>
      <c r="AW119" s="49"/>
      <c r="AX119" s="48"/>
      <c r="AY119" s="49"/>
      <c r="AZ119" s="48"/>
      <c r="BA119" s="49"/>
      <c r="BB119" s="48"/>
      <c r="BC119" s="49"/>
      <c r="BD119" s="48"/>
      <c r="BE119" s="120" t="s">
        <v>408</v>
      </c>
      <c r="BF119" s="120" t="s">
        <v>408</v>
      </c>
      <c r="BG119" s="120" t="s">
        <v>408</v>
      </c>
      <c r="BH119" s="120" t="s">
        <v>408</v>
      </c>
      <c r="BI119" s="2"/>
      <c r="BJ119" s="3"/>
      <c r="BK119" s="3"/>
      <c r="BL119" s="3"/>
      <c r="BM119" s="3"/>
    </row>
    <row r="120" spans="1:65" ht="15">
      <c r="A120" s="65" t="s">
        <v>563</v>
      </c>
      <c r="B120" s="66"/>
      <c r="C120" s="66"/>
      <c r="D120" s="67">
        <v>733.3333333333334</v>
      </c>
      <c r="E120" s="127"/>
      <c r="F120" s="98" t="str">
        <f>HYPERLINK("https://yt3.ggpht.com/a/AATXAJwP9MUzoYh8zqGrg1ObYQgr7qGkg8J9qLWe=s88-c-k-c0xffffffff-no-rj-mo")</f>
        <v>https://yt3.ggpht.com/a/AATXAJwP9MUzoYh8zqGrg1ObYQgr7qGkg8J9qLWe=s88-c-k-c0xffffffff-no-rj-mo</v>
      </c>
      <c r="G120" s="128"/>
      <c r="H120" s="70" t="s">
        <v>1025</v>
      </c>
      <c r="I120" s="71"/>
      <c r="J120" s="129"/>
      <c r="K120" s="70" t="s">
        <v>1025</v>
      </c>
      <c r="L120" s="130">
        <v>646.0322580645161</v>
      </c>
      <c r="M120" s="75">
        <v>9041.6494140625</v>
      </c>
      <c r="N120" s="75">
        <v>2437.772705078125</v>
      </c>
      <c r="O120" s="76"/>
      <c r="P120" s="77"/>
      <c r="Q120" s="77"/>
      <c r="R120" s="131"/>
      <c r="S120" s="48">
        <v>2</v>
      </c>
      <c r="T120" s="48">
        <v>2</v>
      </c>
      <c r="U120" s="49">
        <v>2</v>
      </c>
      <c r="V120" s="49">
        <v>0.5</v>
      </c>
      <c r="W120" s="49">
        <v>0</v>
      </c>
      <c r="X120" s="49">
        <v>1.19638</v>
      </c>
      <c r="Y120" s="49">
        <v>0</v>
      </c>
      <c r="Z120" s="49">
        <v>1</v>
      </c>
      <c r="AA120" s="72">
        <v>120</v>
      </c>
      <c r="AB120" s="72"/>
      <c r="AC120" s="73"/>
      <c r="AD120" s="80" t="s">
        <v>1025</v>
      </c>
      <c r="AE120" s="80" t="s">
        <v>1358</v>
      </c>
      <c r="AF120" s="80"/>
      <c r="AG120" s="80"/>
      <c r="AH120" s="80"/>
      <c r="AI120" s="80" t="s">
        <v>1419</v>
      </c>
      <c r="AJ120" s="84">
        <v>39999.13202546296</v>
      </c>
      <c r="AK120" s="82" t="str">
        <f>HYPERLINK("https://yt3.ggpht.com/a/AATXAJwP9MUzoYh8zqGrg1ObYQgr7qGkg8J9qLWe=s88-c-k-c0xffffffff-no-rj-mo")</f>
        <v>https://yt3.ggpht.com/a/AATXAJwP9MUzoYh8zqGrg1ObYQgr7qGkg8J9qLWe=s88-c-k-c0xffffffff-no-rj-mo</v>
      </c>
      <c r="AL120" s="80">
        <v>19717</v>
      </c>
      <c r="AM120" s="80">
        <v>0</v>
      </c>
      <c r="AN120" s="80">
        <v>1270</v>
      </c>
      <c r="AO120" s="80" t="b">
        <v>0</v>
      </c>
      <c r="AP120" s="80">
        <v>65</v>
      </c>
      <c r="AQ120" s="80"/>
      <c r="AR120" s="80"/>
      <c r="AS120" s="80" t="s">
        <v>230</v>
      </c>
      <c r="AT120" s="82" t="str">
        <f>HYPERLINK("https://www.youtube.com/channel/UCH4mvHhRxr_WHPjun9cr5PA")</f>
        <v>https://www.youtube.com/channel/UCH4mvHhRxr_WHPjun9cr5PA</v>
      </c>
      <c r="AU120" s="79" t="str">
        <f>REPLACE(INDEX(GroupVertices[Group],MATCH(Vertices[[#This Row],[Vertex]],GroupVertices[Vertex],0)),1,1,"")</f>
        <v>18</v>
      </c>
      <c r="AV120" s="48">
        <v>0</v>
      </c>
      <c r="AW120" s="49">
        <v>0</v>
      </c>
      <c r="AX120" s="48">
        <v>0</v>
      </c>
      <c r="AY120" s="49">
        <v>0</v>
      </c>
      <c r="AZ120" s="48">
        <v>0</v>
      </c>
      <c r="BA120" s="49">
        <v>0</v>
      </c>
      <c r="BB120" s="48">
        <v>52</v>
      </c>
      <c r="BC120" s="49">
        <v>100</v>
      </c>
      <c r="BD120" s="48">
        <v>52</v>
      </c>
      <c r="BE120" s="120" t="s">
        <v>408</v>
      </c>
      <c r="BF120" s="120" t="s">
        <v>408</v>
      </c>
      <c r="BG120" s="120" t="s">
        <v>408</v>
      </c>
      <c r="BH120" s="120" t="s">
        <v>408</v>
      </c>
      <c r="BI120" s="2"/>
      <c r="BJ120" s="3"/>
      <c r="BK120" s="3"/>
      <c r="BL120" s="3"/>
      <c r="BM120" s="3"/>
    </row>
    <row r="121" spans="1:65" ht="15">
      <c r="A121" s="65" t="s">
        <v>564</v>
      </c>
      <c r="B121" s="66"/>
      <c r="C121" s="66"/>
      <c r="D121" s="67">
        <v>733.3333333333334</v>
      </c>
      <c r="E121" s="127"/>
      <c r="F121" s="98" t="str">
        <f>HYPERLINK("https://yt3.ggpht.com/a/AATXAJz8tbUr9bvUD7e6fR8VfCSJY5Nf4xQksWOgxQ=s88-c-k-c0xffffffff-no-rj-mo")</f>
        <v>https://yt3.ggpht.com/a/AATXAJz8tbUr9bvUD7e6fR8VfCSJY5Nf4xQksWOgxQ=s88-c-k-c0xffffffff-no-rj-mo</v>
      </c>
      <c r="G121" s="128"/>
      <c r="H121" s="70" t="s">
        <v>1026</v>
      </c>
      <c r="I121" s="71"/>
      <c r="J121" s="129"/>
      <c r="K121" s="70" t="s">
        <v>1026</v>
      </c>
      <c r="L121" s="130">
        <v>646.0322580645161</v>
      </c>
      <c r="M121" s="75">
        <v>9753.013671875</v>
      </c>
      <c r="N121" s="75">
        <v>3739.29541015625</v>
      </c>
      <c r="O121" s="76"/>
      <c r="P121" s="77"/>
      <c r="Q121" s="77"/>
      <c r="R121" s="131"/>
      <c r="S121" s="48">
        <v>2</v>
      </c>
      <c r="T121" s="48">
        <v>2</v>
      </c>
      <c r="U121" s="49">
        <v>0</v>
      </c>
      <c r="V121" s="49">
        <v>0.333333</v>
      </c>
      <c r="W121" s="49">
        <v>0</v>
      </c>
      <c r="X121" s="49">
        <v>1.145149</v>
      </c>
      <c r="Y121" s="49">
        <v>0</v>
      </c>
      <c r="Z121" s="49">
        <v>1</v>
      </c>
      <c r="AA121" s="72">
        <v>121</v>
      </c>
      <c r="AB121" s="72"/>
      <c r="AC121" s="73"/>
      <c r="AD121" s="80" t="s">
        <v>1026</v>
      </c>
      <c r="AE121" s="80"/>
      <c r="AF121" s="80"/>
      <c r="AG121" s="80"/>
      <c r="AH121" s="80"/>
      <c r="AI121" s="80"/>
      <c r="AJ121" s="84">
        <v>42172.11478009259</v>
      </c>
      <c r="AK121" s="82" t="str">
        <f>HYPERLINK("https://yt3.ggpht.com/a/AATXAJz8tbUr9bvUD7e6fR8VfCSJY5Nf4xQksWOgxQ=s88-c-k-c0xffffffff-no-rj-mo")</f>
        <v>https://yt3.ggpht.com/a/AATXAJz8tbUr9bvUD7e6fR8VfCSJY5Nf4xQksWOgxQ=s88-c-k-c0xffffffff-no-rj-mo</v>
      </c>
      <c r="AL121" s="80">
        <v>0</v>
      </c>
      <c r="AM121" s="80">
        <v>0</v>
      </c>
      <c r="AN121" s="80">
        <v>1</v>
      </c>
      <c r="AO121" s="80" t="b">
        <v>0</v>
      </c>
      <c r="AP121" s="80">
        <v>0</v>
      </c>
      <c r="AQ121" s="80"/>
      <c r="AR121" s="80"/>
      <c r="AS121" s="80" t="s">
        <v>230</v>
      </c>
      <c r="AT121" s="82" t="str">
        <f>HYPERLINK("https://www.youtube.com/channel/UC_JkFPAlLvXUWm4YTru40oA")</f>
        <v>https://www.youtube.com/channel/UC_JkFPAlLvXUWm4YTru40oA</v>
      </c>
      <c r="AU121" s="79" t="str">
        <f>REPLACE(INDEX(GroupVertices[Group],MATCH(Vertices[[#This Row],[Vertex]],GroupVertices[Vertex],0)),1,1,"")</f>
        <v>18</v>
      </c>
      <c r="AV121" s="48"/>
      <c r="AW121" s="49"/>
      <c r="AX121" s="48"/>
      <c r="AY121" s="49"/>
      <c r="AZ121" s="48"/>
      <c r="BA121" s="49"/>
      <c r="BB121" s="48"/>
      <c r="BC121" s="49"/>
      <c r="BD121" s="48"/>
      <c r="BE121" s="120" t="s">
        <v>408</v>
      </c>
      <c r="BF121" s="120" t="s">
        <v>408</v>
      </c>
      <c r="BG121" s="120" t="s">
        <v>408</v>
      </c>
      <c r="BH121" s="120" t="s">
        <v>408</v>
      </c>
      <c r="BI121" s="2"/>
      <c r="BJ121" s="3"/>
      <c r="BK121" s="3"/>
      <c r="BL121" s="3"/>
      <c r="BM121" s="3"/>
    </row>
    <row r="122" spans="1:65" ht="15">
      <c r="A122" s="65" t="s">
        <v>565</v>
      </c>
      <c r="B122" s="66"/>
      <c r="C122" s="66"/>
      <c r="D122" s="67">
        <v>466.6666666666667</v>
      </c>
      <c r="E122" s="127"/>
      <c r="F122" s="98" t="str">
        <f>HYPERLINK("https://yt3.ggpht.com/a/AATXAJxd5rf60cU5UY2DL1cJymxavs513S8pmptSMw=s88-c-k-c0xffffffff-no-rj-mo")</f>
        <v>https://yt3.ggpht.com/a/AATXAJxd5rf60cU5UY2DL1cJymxavs513S8pmptSMw=s88-c-k-c0xffffffff-no-rj-mo</v>
      </c>
      <c r="G122" s="128"/>
      <c r="H122" s="70" t="s">
        <v>1027</v>
      </c>
      <c r="I122" s="71"/>
      <c r="J122" s="129"/>
      <c r="K122" s="70" t="s">
        <v>1027</v>
      </c>
      <c r="L122" s="130">
        <v>323.51612903225805</v>
      </c>
      <c r="M122" s="75">
        <v>9316.4443359375</v>
      </c>
      <c r="N122" s="75">
        <v>2871.613525390625</v>
      </c>
      <c r="O122" s="76"/>
      <c r="P122" s="77"/>
      <c r="Q122" s="77"/>
      <c r="R122" s="131"/>
      <c r="S122" s="48">
        <v>1</v>
      </c>
      <c r="T122" s="48">
        <v>1</v>
      </c>
      <c r="U122" s="49">
        <v>0</v>
      </c>
      <c r="V122" s="49">
        <v>0.333333</v>
      </c>
      <c r="W122" s="49">
        <v>0</v>
      </c>
      <c r="X122" s="49">
        <v>0.658461</v>
      </c>
      <c r="Y122" s="49">
        <v>0</v>
      </c>
      <c r="Z122" s="49">
        <v>1</v>
      </c>
      <c r="AA122" s="72">
        <v>122</v>
      </c>
      <c r="AB122" s="72"/>
      <c r="AC122" s="73"/>
      <c r="AD122" s="80" t="s">
        <v>1027</v>
      </c>
      <c r="AE122" s="80"/>
      <c r="AF122" s="80"/>
      <c r="AG122" s="80"/>
      <c r="AH122" s="80"/>
      <c r="AI122" s="80"/>
      <c r="AJ122" s="84">
        <v>41851.25765046296</v>
      </c>
      <c r="AK122" s="82" t="str">
        <f>HYPERLINK("https://yt3.ggpht.com/a/AATXAJxd5rf60cU5UY2DL1cJymxavs513S8pmptSMw=s88-c-k-c0xffffffff-no-rj-mo")</f>
        <v>https://yt3.ggpht.com/a/AATXAJxd5rf60cU5UY2DL1cJymxavs513S8pmptSMw=s88-c-k-c0xffffffff-no-rj-mo</v>
      </c>
      <c r="AL122" s="80">
        <v>0</v>
      </c>
      <c r="AM122" s="80">
        <v>0</v>
      </c>
      <c r="AN122" s="80">
        <v>0</v>
      </c>
      <c r="AO122" s="80" t="b">
        <v>0</v>
      </c>
      <c r="AP122" s="80">
        <v>0</v>
      </c>
      <c r="AQ122" s="80"/>
      <c r="AR122" s="80"/>
      <c r="AS122" s="80" t="s">
        <v>230</v>
      </c>
      <c r="AT122" s="82" t="str">
        <f>HYPERLINK("https://www.youtube.com/channel/UCcKca2PIQW-sa09aXWYL5PA")</f>
        <v>https://www.youtube.com/channel/UCcKca2PIQW-sa09aXWYL5PA</v>
      </c>
      <c r="AU122" s="79" t="str">
        <f>REPLACE(INDEX(GroupVertices[Group],MATCH(Vertices[[#This Row],[Vertex]],GroupVertices[Vertex],0)),1,1,"")</f>
        <v>18</v>
      </c>
      <c r="AV122" s="48"/>
      <c r="AW122" s="49"/>
      <c r="AX122" s="48"/>
      <c r="AY122" s="49"/>
      <c r="AZ122" s="48"/>
      <c r="BA122" s="49"/>
      <c r="BB122" s="48"/>
      <c r="BC122" s="49"/>
      <c r="BD122" s="48"/>
      <c r="BE122" s="120" t="s">
        <v>408</v>
      </c>
      <c r="BF122" s="120" t="s">
        <v>408</v>
      </c>
      <c r="BG122" s="120" t="s">
        <v>408</v>
      </c>
      <c r="BH122" s="120" t="s">
        <v>408</v>
      </c>
      <c r="BI122" s="2"/>
      <c r="BJ122" s="3"/>
      <c r="BK122" s="3"/>
      <c r="BL122" s="3"/>
      <c r="BM122" s="3"/>
    </row>
    <row r="123" spans="1:65" ht="15">
      <c r="A123" s="65" t="s">
        <v>566</v>
      </c>
      <c r="B123" s="66"/>
      <c r="C123" s="66"/>
      <c r="D123" s="67">
        <v>200</v>
      </c>
      <c r="E123" s="127"/>
      <c r="F123" s="98" t="str">
        <f>HYPERLINK("https://yt3.ggpht.com/a/AATXAJzEsuaKtrVw1zlyS6KypQvX4HDK-Fq8ElD-7Q=s88-c-k-c0xffffffff-no-rj-mo")</f>
        <v>https://yt3.ggpht.com/a/AATXAJzEsuaKtrVw1zlyS6KypQvX4HDK-Fq8ElD-7Q=s88-c-k-c0xffffffff-no-rj-mo</v>
      </c>
      <c r="G123" s="128"/>
      <c r="H123" s="70" t="s">
        <v>1028</v>
      </c>
      <c r="I123" s="71"/>
      <c r="J123" s="129"/>
      <c r="K123" s="70" t="s">
        <v>1028</v>
      </c>
      <c r="L123" s="130">
        <v>1</v>
      </c>
      <c r="M123" s="75">
        <v>5597.84423828125</v>
      </c>
      <c r="N123" s="75">
        <v>2258.222412109375</v>
      </c>
      <c r="O123" s="76"/>
      <c r="P123" s="77"/>
      <c r="Q123" s="77"/>
      <c r="R123" s="131"/>
      <c r="S123" s="48">
        <v>0</v>
      </c>
      <c r="T123" s="48">
        <v>1</v>
      </c>
      <c r="U123" s="49">
        <v>0</v>
      </c>
      <c r="V123" s="49">
        <v>0.111111</v>
      </c>
      <c r="W123" s="49">
        <v>0</v>
      </c>
      <c r="X123" s="49">
        <v>0.671669</v>
      </c>
      <c r="Y123" s="49">
        <v>0</v>
      </c>
      <c r="Z123" s="49">
        <v>0</v>
      </c>
      <c r="AA123" s="72">
        <v>123</v>
      </c>
      <c r="AB123" s="72"/>
      <c r="AC123" s="73"/>
      <c r="AD123" s="80" t="s">
        <v>1028</v>
      </c>
      <c r="AE123" s="80"/>
      <c r="AF123" s="80"/>
      <c r="AG123" s="80"/>
      <c r="AH123" s="80"/>
      <c r="AI123" s="80"/>
      <c r="AJ123" s="84">
        <v>43766.67673611111</v>
      </c>
      <c r="AK123" s="82" t="str">
        <f>HYPERLINK("https://yt3.ggpht.com/a/AATXAJzEsuaKtrVw1zlyS6KypQvX4HDK-Fq8ElD-7Q=s88-c-k-c0xffffffff-no-rj-mo")</f>
        <v>https://yt3.ggpht.com/a/AATXAJzEsuaKtrVw1zlyS6KypQvX4HDK-Fq8ElD-7Q=s88-c-k-c0xffffffff-no-rj-mo</v>
      </c>
      <c r="AL123" s="80">
        <v>0</v>
      </c>
      <c r="AM123" s="80">
        <v>0</v>
      </c>
      <c r="AN123" s="80">
        <v>0</v>
      </c>
      <c r="AO123" s="80" t="b">
        <v>0</v>
      </c>
      <c r="AP123" s="80">
        <v>0</v>
      </c>
      <c r="AQ123" s="80"/>
      <c r="AR123" s="80"/>
      <c r="AS123" s="80" t="s">
        <v>230</v>
      </c>
      <c r="AT123" s="82" t="str">
        <f>HYPERLINK("https://www.youtube.com/channel/UCHuFeq6O8IE77zuClBDkATg")</f>
        <v>https://www.youtube.com/channel/UCHuFeq6O8IE77zuClBDkATg</v>
      </c>
      <c r="AU123" s="79" t="str">
        <f>REPLACE(INDEX(GroupVertices[Group],MATCH(Vertices[[#This Row],[Vertex]],GroupVertices[Vertex],0)),1,1,"")</f>
        <v>13</v>
      </c>
      <c r="AV123" s="48"/>
      <c r="AW123" s="49"/>
      <c r="AX123" s="48"/>
      <c r="AY123" s="49"/>
      <c r="AZ123" s="48"/>
      <c r="BA123" s="49"/>
      <c r="BB123" s="48"/>
      <c r="BC123" s="49"/>
      <c r="BD123" s="48"/>
      <c r="BE123" s="120" t="s">
        <v>408</v>
      </c>
      <c r="BF123" s="120" t="s">
        <v>408</v>
      </c>
      <c r="BG123" s="120" t="s">
        <v>408</v>
      </c>
      <c r="BH123" s="120" t="s">
        <v>408</v>
      </c>
      <c r="BI123" s="2"/>
      <c r="BJ123" s="3"/>
      <c r="BK123" s="3"/>
      <c r="BL123" s="3"/>
      <c r="BM123" s="3"/>
    </row>
    <row r="124" spans="1:65" ht="15">
      <c r="A124" s="65" t="s">
        <v>567</v>
      </c>
      <c r="B124" s="66"/>
      <c r="C124" s="66"/>
      <c r="D124" s="67">
        <v>466.6666666666667</v>
      </c>
      <c r="E124" s="127"/>
      <c r="F124" s="98" t="str">
        <f>HYPERLINK("https://yt3.ggpht.com/a/AATXAJycLPb9LXaxFQl7fjpziVKoMf4NmNvLG7X1QQ=s88-c-k-c0xffffffff-no-rj-mo")</f>
        <v>https://yt3.ggpht.com/a/AATXAJycLPb9LXaxFQl7fjpziVKoMf4NmNvLG7X1QQ=s88-c-k-c0xffffffff-no-rj-mo</v>
      </c>
      <c r="G124" s="128"/>
      <c r="H124" s="70" t="s">
        <v>1029</v>
      </c>
      <c r="I124" s="71"/>
      <c r="J124" s="129"/>
      <c r="K124" s="70" t="s">
        <v>1029</v>
      </c>
      <c r="L124" s="130">
        <v>323.51612903225805</v>
      </c>
      <c r="M124" s="75">
        <v>6035.18701171875</v>
      </c>
      <c r="N124" s="75">
        <v>2333.35498046875</v>
      </c>
      <c r="O124" s="76"/>
      <c r="P124" s="77"/>
      <c r="Q124" s="77"/>
      <c r="R124" s="131"/>
      <c r="S124" s="48">
        <v>1</v>
      </c>
      <c r="T124" s="48">
        <v>1</v>
      </c>
      <c r="U124" s="49">
        <v>6</v>
      </c>
      <c r="V124" s="49">
        <v>0.166667</v>
      </c>
      <c r="W124" s="49">
        <v>0</v>
      </c>
      <c r="X124" s="49">
        <v>1.227456</v>
      </c>
      <c r="Y124" s="49">
        <v>0</v>
      </c>
      <c r="Z124" s="49">
        <v>0</v>
      </c>
      <c r="AA124" s="72">
        <v>124</v>
      </c>
      <c r="AB124" s="72"/>
      <c r="AC124" s="73"/>
      <c r="AD124" s="80" t="s">
        <v>1029</v>
      </c>
      <c r="AE124" s="80"/>
      <c r="AF124" s="80"/>
      <c r="AG124" s="80"/>
      <c r="AH124" s="80"/>
      <c r="AI124" s="80"/>
      <c r="AJ124" s="84">
        <v>40328.430231481485</v>
      </c>
      <c r="AK124" s="82" t="str">
        <f>HYPERLINK("https://yt3.ggpht.com/a/AATXAJycLPb9LXaxFQl7fjpziVKoMf4NmNvLG7X1QQ=s88-c-k-c0xffffffff-no-rj-mo")</f>
        <v>https://yt3.ggpht.com/a/AATXAJycLPb9LXaxFQl7fjpziVKoMf4NmNvLG7X1QQ=s88-c-k-c0xffffffff-no-rj-mo</v>
      </c>
      <c r="AL124" s="80">
        <v>227</v>
      </c>
      <c r="AM124" s="80">
        <v>0</v>
      </c>
      <c r="AN124" s="80">
        <v>1</v>
      </c>
      <c r="AO124" s="80" t="b">
        <v>0</v>
      </c>
      <c r="AP124" s="80">
        <v>15</v>
      </c>
      <c r="AQ124" s="80"/>
      <c r="AR124" s="80"/>
      <c r="AS124" s="80" t="s">
        <v>230</v>
      </c>
      <c r="AT124" s="82" t="str">
        <f>HYPERLINK("https://www.youtube.com/channel/UCMHwup1V_k48AWCCFNe2yqQ")</f>
        <v>https://www.youtube.com/channel/UCMHwup1V_k48AWCCFNe2yqQ</v>
      </c>
      <c r="AU124" s="79" t="str">
        <f>REPLACE(INDEX(GroupVertices[Group],MATCH(Vertices[[#This Row],[Vertex]],GroupVertices[Vertex],0)),1,1,"")</f>
        <v>13</v>
      </c>
      <c r="AV124" s="48"/>
      <c r="AW124" s="49"/>
      <c r="AX124" s="48"/>
      <c r="AY124" s="49"/>
      <c r="AZ124" s="48"/>
      <c r="BA124" s="49"/>
      <c r="BB124" s="48"/>
      <c r="BC124" s="49"/>
      <c r="BD124" s="48"/>
      <c r="BE124" s="120" t="s">
        <v>408</v>
      </c>
      <c r="BF124" s="120" t="s">
        <v>408</v>
      </c>
      <c r="BG124" s="120" t="s">
        <v>408</v>
      </c>
      <c r="BH124" s="120" t="s">
        <v>408</v>
      </c>
      <c r="BI124" s="2"/>
      <c r="BJ124" s="3"/>
      <c r="BK124" s="3"/>
      <c r="BL124" s="3"/>
      <c r="BM124" s="3"/>
    </row>
    <row r="125" spans="1:65" ht="15">
      <c r="A125" s="65" t="s">
        <v>568</v>
      </c>
      <c r="B125" s="66"/>
      <c r="C125" s="66"/>
      <c r="D125" s="67">
        <v>1000</v>
      </c>
      <c r="E125" s="127"/>
      <c r="F125" s="98" t="str">
        <f>HYPERLINK("https://yt3.ggpht.com/a/AATXAJwkGqpi_dlHGNBqkZ_WJJK_1HW_YSU1UnwzLg=s88-c-k-c0xffffffff-no-rj-mo")</f>
        <v>https://yt3.ggpht.com/a/AATXAJwkGqpi_dlHGNBqkZ_WJJK_1HW_YSU1UnwzLg=s88-c-k-c0xffffffff-no-rj-mo</v>
      </c>
      <c r="G125" s="128"/>
      <c r="H125" s="70" t="s">
        <v>1030</v>
      </c>
      <c r="I125" s="71"/>
      <c r="J125" s="129"/>
      <c r="K125" s="70" t="s">
        <v>1030</v>
      </c>
      <c r="L125" s="130">
        <v>1613.5806451612902</v>
      </c>
      <c r="M125" s="75">
        <v>6163.91796875</v>
      </c>
      <c r="N125" s="75">
        <v>4500.14599609375</v>
      </c>
      <c r="O125" s="76"/>
      <c r="P125" s="77"/>
      <c r="Q125" s="77"/>
      <c r="R125" s="131"/>
      <c r="S125" s="48">
        <v>5</v>
      </c>
      <c r="T125" s="48">
        <v>5</v>
      </c>
      <c r="U125" s="49">
        <v>20</v>
      </c>
      <c r="V125" s="49">
        <v>0.2</v>
      </c>
      <c r="W125" s="49">
        <v>0</v>
      </c>
      <c r="X125" s="49">
        <v>2.601224</v>
      </c>
      <c r="Y125" s="49">
        <v>0</v>
      </c>
      <c r="Z125" s="49">
        <v>1</v>
      </c>
      <c r="AA125" s="72">
        <v>125</v>
      </c>
      <c r="AB125" s="72"/>
      <c r="AC125" s="73"/>
      <c r="AD125" s="80" t="s">
        <v>1030</v>
      </c>
      <c r="AE125" s="80" t="s">
        <v>1359</v>
      </c>
      <c r="AF125" s="80"/>
      <c r="AG125" s="80"/>
      <c r="AH125" s="80"/>
      <c r="AI125" s="80" t="s">
        <v>1420</v>
      </c>
      <c r="AJ125" s="84">
        <v>43180.70885416667</v>
      </c>
      <c r="AK125" s="82" t="str">
        <f>HYPERLINK("https://yt3.ggpht.com/a/AATXAJwkGqpi_dlHGNBqkZ_WJJK_1HW_YSU1UnwzLg=s88-c-k-c0xffffffff-no-rj-mo")</f>
        <v>https://yt3.ggpht.com/a/AATXAJwkGqpi_dlHGNBqkZ_WJJK_1HW_YSU1UnwzLg=s88-c-k-c0xffffffff-no-rj-mo</v>
      </c>
      <c r="AL125" s="80">
        <v>476564</v>
      </c>
      <c r="AM125" s="80">
        <v>0</v>
      </c>
      <c r="AN125" s="80">
        <v>4570</v>
      </c>
      <c r="AO125" s="80" t="b">
        <v>0</v>
      </c>
      <c r="AP125" s="80">
        <v>600</v>
      </c>
      <c r="AQ125" s="80"/>
      <c r="AR125" s="80"/>
      <c r="AS125" s="80" t="s">
        <v>230</v>
      </c>
      <c r="AT125" s="82" t="str">
        <f>HYPERLINK("https://www.youtube.com/channel/UCHQ7g1xX-e9rghxNR4ChsOg")</f>
        <v>https://www.youtube.com/channel/UCHQ7g1xX-e9rghxNR4ChsOg</v>
      </c>
      <c r="AU125" s="79" t="str">
        <f>REPLACE(INDEX(GroupVertices[Group],MATCH(Vertices[[#This Row],[Vertex]],GroupVertices[Vertex],0)),1,1,"")</f>
        <v>9</v>
      </c>
      <c r="AV125" s="48">
        <v>2</v>
      </c>
      <c r="AW125" s="49">
        <v>5.2631578947368425</v>
      </c>
      <c r="AX125" s="48">
        <v>0</v>
      </c>
      <c r="AY125" s="49">
        <v>0</v>
      </c>
      <c r="AZ125" s="48">
        <v>0</v>
      </c>
      <c r="BA125" s="49">
        <v>0</v>
      </c>
      <c r="BB125" s="48">
        <v>36</v>
      </c>
      <c r="BC125" s="49">
        <v>94.73684210526316</v>
      </c>
      <c r="BD125" s="48">
        <v>38</v>
      </c>
      <c r="BE125" s="120" t="s">
        <v>408</v>
      </c>
      <c r="BF125" s="120" t="s">
        <v>408</v>
      </c>
      <c r="BG125" s="120" t="s">
        <v>408</v>
      </c>
      <c r="BH125" s="120" t="s">
        <v>408</v>
      </c>
      <c r="BI125" s="2"/>
      <c r="BJ125" s="3"/>
      <c r="BK125" s="3"/>
      <c r="BL125" s="3"/>
      <c r="BM125" s="3"/>
    </row>
    <row r="126" spans="1:65" ht="15">
      <c r="A126" s="65" t="s">
        <v>569</v>
      </c>
      <c r="B126" s="66"/>
      <c r="C126" s="66"/>
      <c r="D126" s="67">
        <v>733.3333333333334</v>
      </c>
      <c r="E126" s="127"/>
      <c r="F126" s="98" t="str">
        <f>HYPERLINK("https://yt3.ggpht.com/a/AATXAJzXNZ8mycs3bwqUgZYmi-kymOU6YfdATfYESQ=s88-c-k-c0xffffffff-no-rj-mo")</f>
        <v>https://yt3.ggpht.com/a/AATXAJzXNZ8mycs3bwqUgZYmi-kymOU6YfdATfYESQ=s88-c-k-c0xffffffff-no-rj-mo</v>
      </c>
      <c r="G126" s="128"/>
      <c r="H126" s="70" t="s">
        <v>1031</v>
      </c>
      <c r="I126" s="71"/>
      <c r="J126" s="129"/>
      <c r="K126" s="70" t="s">
        <v>1031</v>
      </c>
      <c r="L126" s="130">
        <v>646.0322580645161</v>
      </c>
      <c r="M126" s="75">
        <v>5597.84423828125</v>
      </c>
      <c r="N126" s="75">
        <v>4019.554443359375</v>
      </c>
      <c r="O126" s="76"/>
      <c r="P126" s="77"/>
      <c r="Q126" s="77"/>
      <c r="R126" s="131"/>
      <c r="S126" s="48">
        <v>2</v>
      </c>
      <c r="T126" s="48">
        <v>2</v>
      </c>
      <c r="U126" s="49">
        <v>0</v>
      </c>
      <c r="V126" s="49">
        <v>0.111111</v>
      </c>
      <c r="W126" s="49">
        <v>0</v>
      </c>
      <c r="X126" s="49">
        <v>1.029926</v>
      </c>
      <c r="Y126" s="49">
        <v>0</v>
      </c>
      <c r="Z126" s="49">
        <v>1</v>
      </c>
      <c r="AA126" s="72">
        <v>126</v>
      </c>
      <c r="AB126" s="72"/>
      <c r="AC126" s="73"/>
      <c r="AD126" s="80" t="s">
        <v>1031</v>
      </c>
      <c r="AE126" s="80"/>
      <c r="AF126" s="80"/>
      <c r="AG126" s="80"/>
      <c r="AH126" s="80"/>
      <c r="AI126" s="80"/>
      <c r="AJ126" s="84">
        <v>40372.51119212963</v>
      </c>
      <c r="AK126" s="82" t="str">
        <f>HYPERLINK("https://yt3.ggpht.com/a/AATXAJzXNZ8mycs3bwqUgZYmi-kymOU6YfdATfYESQ=s88-c-k-c0xffffffff-no-rj-mo")</f>
        <v>https://yt3.ggpht.com/a/AATXAJzXNZ8mycs3bwqUgZYmi-kymOU6YfdATfYESQ=s88-c-k-c0xffffffff-no-rj-mo</v>
      </c>
      <c r="AL126" s="80">
        <v>0</v>
      </c>
      <c r="AM126" s="80">
        <v>0</v>
      </c>
      <c r="AN126" s="80">
        <v>0</v>
      </c>
      <c r="AO126" s="80" t="b">
        <v>0</v>
      </c>
      <c r="AP126" s="80">
        <v>0</v>
      </c>
      <c r="AQ126" s="80"/>
      <c r="AR126" s="80"/>
      <c r="AS126" s="80" t="s">
        <v>230</v>
      </c>
      <c r="AT126" s="82" t="str">
        <f>HYPERLINK("https://www.youtube.com/channel/UCAlXUgj-ciriCdqCLXIB7jQ")</f>
        <v>https://www.youtube.com/channel/UCAlXUgj-ciriCdqCLXIB7jQ</v>
      </c>
      <c r="AU126" s="79" t="str">
        <f>REPLACE(INDEX(GroupVertices[Group],MATCH(Vertices[[#This Row],[Vertex]],GroupVertices[Vertex],0)),1,1,"")</f>
        <v>9</v>
      </c>
      <c r="AV126" s="48"/>
      <c r="AW126" s="49"/>
      <c r="AX126" s="48"/>
      <c r="AY126" s="49"/>
      <c r="AZ126" s="48"/>
      <c r="BA126" s="49"/>
      <c r="BB126" s="48"/>
      <c r="BC126" s="49"/>
      <c r="BD126" s="48"/>
      <c r="BE126" s="120" t="s">
        <v>408</v>
      </c>
      <c r="BF126" s="120" t="s">
        <v>408</v>
      </c>
      <c r="BG126" s="120" t="s">
        <v>408</v>
      </c>
      <c r="BH126" s="120" t="s">
        <v>408</v>
      </c>
      <c r="BI126" s="2"/>
      <c r="BJ126" s="3"/>
      <c r="BK126" s="3"/>
      <c r="BL126" s="3"/>
      <c r="BM126" s="3"/>
    </row>
    <row r="127" spans="1:65" ht="15">
      <c r="A127" s="65" t="s">
        <v>570</v>
      </c>
      <c r="B127" s="66"/>
      <c r="C127" s="66"/>
      <c r="D127" s="67">
        <v>466.6666666666667</v>
      </c>
      <c r="E127" s="127"/>
      <c r="F127" s="98" t="str">
        <f>HYPERLINK("https://yt3.ggpht.com/a/AATXAJzDRBEJ5F1CSx0KBfr9_bCrOyfSx8fZwEY6nw=s88-c-k-c0xffffffff-no-rj-mo")</f>
        <v>https://yt3.ggpht.com/a/AATXAJzDRBEJ5F1CSx0KBfr9_bCrOyfSx8fZwEY6nw=s88-c-k-c0xffffffff-no-rj-mo</v>
      </c>
      <c r="G127" s="128"/>
      <c r="H127" s="70" t="s">
        <v>1032</v>
      </c>
      <c r="I127" s="71"/>
      <c r="J127" s="129"/>
      <c r="K127" s="70" t="s">
        <v>1032</v>
      </c>
      <c r="L127" s="130">
        <v>323.51612903225805</v>
      </c>
      <c r="M127" s="75">
        <v>6449.27685546875</v>
      </c>
      <c r="N127" s="75">
        <v>5433.3408203125</v>
      </c>
      <c r="O127" s="76"/>
      <c r="P127" s="77"/>
      <c r="Q127" s="77"/>
      <c r="R127" s="131"/>
      <c r="S127" s="48">
        <v>1</v>
      </c>
      <c r="T127" s="48">
        <v>1</v>
      </c>
      <c r="U127" s="49">
        <v>0</v>
      </c>
      <c r="V127" s="49">
        <v>0.111111</v>
      </c>
      <c r="W127" s="49">
        <v>0</v>
      </c>
      <c r="X127" s="49">
        <v>0.592208</v>
      </c>
      <c r="Y127" s="49">
        <v>0</v>
      </c>
      <c r="Z127" s="49">
        <v>1</v>
      </c>
      <c r="AA127" s="72">
        <v>127</v>
      </c>
      <c r="AB127" s="72"/>
      <c r="AC127" s="73"/>
      <c r="AD127" s="80" t="s">
        <v>1032</v>
      </c>
      <c r="AE127" s="80"/>
      <c r="AF127" s="80"/>
      <c r="AG127" s="80"/>
      <c r="AH127" s="80"/>
      <c r="AI127" s="80"/>
      <c r="AJ127" s="84">
        <v>42872.45521990741</v>
      </c>
      <c r="AK127" s="82" t="str">
        <f>HYPERLINK("https://yt3.ggpht.com/a/AATXAJzDRBEJ5F1CSx0KBfr9_bCrOyfSx8fZwEY6nw=s88-c-k-c0xffffffff-no-rj-mo")</f>
        <v>https://yt3.ggpht.com/a/AATXAJzDRBEJ5F1CSx0KBfr9_bCrOyfSx8fZwEY6nw=s88-c-k-c0xffffffff-no-rj-mo</v>
      </c>
      <c r="AL127" s="80">
        <v>0</v>
      </c>
      <c r="AM127" s="80">
        <v>0</v>
      </c>
      <c r="AN127" s="80">
        <v>0</v>
      </c>
      <c r="AO127" s="80" t="b">
        <v>0</v>
      </c>
      <c r="AP127" s="80">
        <v>0</v>
      </c>
      <c r="AQ127" s="80"/>
      <c r="AR127" s="80"/>
      <c r="AS127" s="80" t="s">
        <v>230</v>
      </c>
      <c r="AT127" s="82" t="str">
        <f>HYPERLINK("https://www.youtube.com/channel/UCxTJWLPVQpxER06LVC1fj8w")</f>
        <v>https://www.youtube.com/channel/UCxTJWLPVQpxER06LVC1fj8w</v>
      </c>
      <c r="AU127" s="79" t="str">
        <f>REPLACE(INDEX(GroupVertices[Group],MATCH(Vertices[[#This Row],[Vertex]],GroupVertices[Vertex],0)),1,1,"")</f>
        <v>9</v>
      </c>
      <c r="AV127" s="48"/>
      <c r="AW127" s="49"/>
      <c r="AX127" s="48"/>
      <c r="AY127" s="49"/>
      <c r="AZ127" s="48"/>
      <c r="BA127" s="49"/>
      <c r="BB127" s="48"/>
      <c r="BC127" s="49"/>
      <c r="BD127" s="48"/>
      <c r="BE127" s="120" t="s">
        <v>408</v>
      </c>
      <c r="BF127" s="120" t="s">
        <v>408</v>
      </c>
      <c r="BG127" s="120" t="s">
        <v>408</v>
      </c>
      <c r="BH127" s="120" t="s">
        <v>408</v>
      </c>
      <c r="BI127" s="2"/>
      <c r="BJ127" s="3"/>
      <c r="BK127" s="3"/>
      <c r="BL127" s="3"/>
      <c r="BM127" s="3"/>
    </row>
    <row r="128" spans="1:65" ht="15">
      <c r="A128" s="65" t="s">
        <v>571</v>
      </c>
      <c r="B128" s="66"/>
      <c r="C128" s="66"/>
      <c r="D128" s="67">
        <v>733.3333333333334</v>
      </c>
      <c r="E128" s="127"/>
      <c r="F128" s="98" t="str">
        <f>HYPERLINK("https://yt3.ggpht.com/a/AATXAJzJV5daLOPD4JtzMzh8uAfIOnyVEmkD9aNjrA=s88-c-k-c0xffffffff-no-rj-mo")</f>
        <v>https://yt3.ggpht.com/a/AATXAJzJV5daLOPD4JtzMzh8uAfIOnyVEmkD9aNjrA=s88-c-k-c0xffffffff-no-rj-mo</v>
      </c>
      <c r="G128" s="128"/>
      <c r="H128" s="70" t="s">
        <v>1033</v>
      </c>
      <c r="I128" s="71"/>
      <c r="J128" s="129"/>
      <c r="K128" s="70" t="s">
        <v>1033</v>
      </c>
      <c r="L128" s="130">
        <v>646.0322580645161</v>
      </c>
      <c r="M128" s="75">
        <v>8486.9609375</v>
      </c>
      <c r="N128" s="75">
        <v>3088.109130859375</v>
      </c>
      <c r="O128" s="76"/>
      <c r="P128" s="77"/>
      <c r="Q128" s="77"/>
      <c r="R128" s="131"/>
      <c r="S128" s="48">
        <v>2</v>
      </c>
      <c r="T128" s="48">
        <v>2</v>
      </c>
      <c r="U128" s="49">
        <v>2</v>
      </c>
      <c r="V128" s="49">
        <v>0.5</v>
      </c>
      <c r="W128" s="49">
        <v>0</v>
      </c>
      <c r="X128" s="49">
        <v>1.459455</v>
      </c>
      <c r="Y128" s="49">
        <v>0</v>
      </c>
      <c r="Z128" s="49">
        <v>1</v>
      </c>
      <c r="AA128" s="72">
        <v>128</v>
      </c>
      <c r="AB128" s="72"/>
      <c r="AC128" s="73"/>
      <c r="AD128" s="80" t="s">
        <v>1033</v>
      </c>
      <c r="AE128" s="80" t="s">
        <v>1360</v>
      </c>
      <c r="AF128" s="80"/>
      <c r="AG128" s="80"/>
      <c r="AH128" s="80"/>
      <c r="AI128" s="80"/>
      <c r="AJ128" s="84">
        <v>42009.065833333334</v>
      </c>
      <c r="AK128" s="82" t="str">
        <f>HYPERLINK("https://yt3.ggpht.com/a/AATXAJzJV5daLOPD4JtzMzh8uAfIOnyVEmkD9aNjrA=s88-c-k-c0xffffffff-no-rj-mo")</f>
        <v>https://yt3.ggpht.com/a/AATXAJzJV5daLOPD4JtzMzh8uAfIOnyVEmkD9aNjrA=s88-c-k-c0xffffffff-no-rj-mo</v>
      </c>
      <c r="AL128" s="80">
        <v>63791</v>
      </c>
      <c r="AM128" s="80">
        <v>0</v>
      </c>
      <c r="AN128" s="80">
        <v>0</v>
      </c>
      <c r="AO128" s="80" t="b">
        <v>1</v>
      </c>
      <c r="AP128" s="80">
        <v>89</v>
      </c>
      <c r="AQ128" s="80"/>
      <c r="AR128" s="80"/>
      <c r="AS128" s="80" t="s">
        <v>230</v>
      </c>
      <c r="AT128" s="82" t="str">
        <f>HYPERLINK("https://www.youtube.com/channel/UCz4eajnBYLumJR1qQj2SR9w")</f>
        <v>https://www.youtube.com/channel/UCz4eajnBYLumJR1qQj2SR9w</v>
      </c>
      <c r="AU128" s="79" t="str">
        <f>REPLACE(INDEX(GroupVertices[Group],MATCH(Vertices[[#This Row],[Vertex]],GroupVertices[Vertex],0)),1,1,"")</f>
        <v>17</v>
      </c>
      <c r="AV128" s="48">
        <v>0</v>
      </c>
      <c r="AW128" s="49">
        <v>0</v>
      </c>
      <c r="AX128" s="48">
        <v>0</v>
      </c>
      <c r="AY128" s="49">
        <v>0</v>
      </c>
      <c r="AZ128" s="48">
        <v>0</v>
      </c>
      <c r="BA128" s="49">
        <v>0</v>
      </c>
      <c r="BB128" s="48">
        <v>21</v>
      </c>
      <c r="BC128" s="49">
        <v>100</v>
      </c>
      <c r="BD128" s="48">
        <v>21</v>
      </c>
      <c r="BE128" s="120" t="s">
        <v>408</v>
      </c>
      <c r="BF128" s="120" t="s">
        <v>408</v>
      </c>
      <c r="BG128" s="120" t="s">
        <v>408</v>
      </c>
      <c r="BH128" s="120" t="s">
        <v>408</v>
      </c>
      <c r="BI128" s="2"/>
      <c r="BJ128" s="3"/>
      <c r="BK128" s="3"/>
      <c r="BL128" s="3"/>
      <c r="BM128" s="3"/>
    </row>
    <row r="129" spans="1:65" ht="15">
      <c r="A129" s="65" t="s">
        <v>572</v>
      </c>
      <c r="B129" s="66"/>
      <c r="C129" s="66"/>
      <c r="D129" s="67">
        <v>466.6666666666667</v>
      </c>
      <c r="E129" s="127"/>
      <c r="F129" s="98" t="str">
        <f>HYPERLINK("https://yt3.ggpht.com/a/AATXAJx9zkLvQ6X_VE8-ZxbV1KulVlfqlHDNJ7Zpfg=s88-c-k-c0xffffffff-no-rj-mo")</f>
        <v>https://yt3.ggpht.com/a/AATXAJx9zkLvQ6X_VE8-ZxbV1KulVlfqlHDNJ7Zpfg=s88-c-k-c0xffffffff-no-rj-mo</v>
      </c>
      <c r="G129" s="128"/>
      <c r="H129" s="70" t="s">
        <v>1034</v>
      </c>
      <c r="I129" s="71"/>
      <c r="J129" s="129"/>
      <c r="K129" s="70" t="s">
        <v>1034</v>
      </c>
      <c r="L129" s="130">
        <v>323.51612903225805</v>
      </c>
      <c r="M129" s="75">
        <v>8071.00146484375</v>
      </c>
      <c r="N129" s="75">
        <v>3739.29541015625</v>
      </c>
      <c r="O129" s="76"/>
      <c r="P129" s="77"/>
      <c r="Q129" s="77"/>
      <c r="R129" s="131"/>
      <c r="S129" s="48">
        <v>1</v>
      </c>
      <c r="T129" s="48">
        <v>1</v>
      </c>
      <c r="U129" s="49">
        <v>0</v>
      </c>
      <c r="V129" s="49">
        <v>0.333333</v>
      </c>
      <c r="W129" s="49">
        <v>0</v>
      </c>
      <c r="X129" s="49">
        <v>0.770268</v>
      </c>
      <c r="Y129" s="49">
        <v>0</v>
      </c>
      <c r="Z129" s="49">
        <v>1</v>
      </c>
      <c r="AA129" s="72">
        <v>129</v>
      </c>
      <c r="AB129" s="72"/>
      <c r="AC129" s="73"/>
      <c r="AD129" s="80" t="s">
        <v>1034</v>
      </c>
      <c r="AE129" s="80"/>
      <c r="AF129" s="80"/>
      <c r="AG129" s="80"/>
      <c r="AH129" s="80"/>
      <c r="AI129" s="80"/>
      <c r="AJ129" s="84">
        <v>43117.46844907408</v>
      </c>
      <c r="AK129" s="82" t="str">
        <f>HYPERLINK("https://yt3.ggpht.com/a/AATXAJx9zkLvQ6X_VE8-ZxbV1KulVlfqlHDNJ7Zpfg=s88-c-k-c0xffffffff-no-rj-mo")</f>
        <v>https://yt3.ggpht.com/a/AATXAJx9zkLvQ6X_VE8-ZxbV1KulVlfqlHDNJ7Zpfg=s88-c-k-c0xffffffff-no-rj-mo</v>
      </c>
      <c r="AL129" s="80">
        <v>0</v>
      </c>
      <c r="AM129" s="80">
        <v>0</v>
      </c>
      <c r="AN129" s="80">
        <v>1</v>
      </c>
      <c r="AO129" s="80" t="b">
        <v>0</v>
      </c>
      <c r="AP129" s="80">
        <v>0</v>
      </c>
      <c r="AQ129" s="80"/>
      <c r="AR129" s="80"/>
      <c r="AS129" s="80" t="s">
        <v>230</v>
      </c>
      <c r="AT129" s="82" t="str">
        <f>HYPERLINK("https://www.youtube.com/channel/UCTM43tLnMPEe1n93r_hJIJQ")</f>
        <v>https://www.youtube.com/channel/UCTM43tLnMPEe1n93r_hJIJQ</v>
      </c>
      <c r="AU129" s="79" t="str">
        <f>REPLACE(INDEX(GroupVertices[Group],MATCH(Vertices[[#This Row],[Vertex]],GroupVertices[Vertex],0)),1,1,"")</f>
        <v>17</v>
      </c>
      <c r="AV129" s="48"/>
      <c r="AW129" s="49"/>
      <c r="AX129" s="48"/>
      <c r="AY129" s="49"/>
      <c r="AZ129" s="48"/>
      <c r="BA129" s="49"/>
      <c r="BB129" s="48"/>
      <c r="BC129" s="49"/>
      <c r="BD129" s="48"/>
      <c r="BE129" s="120" t="s">
        <v>408</v>
      </c>
      <c r="BF129" s="120" t="s">
        <v>408</v>
      </c>
      <c r="BG129" s="120" t="s">
        <v>408</v>
      </c>
      <c r="BH129" s="120" t="s">
        <v>408</v>
      </c>
      <c r="BI129" s="2"/>
      <c r="BJ129" s="3"/>
      <c r="BK129" s="3"/>
      <c r="BL129" s="3"/>
      <c r="BM129" s="3"/>
    </row>
    <row r="130" spans="1:65" ht="15">
      <c r="A130" s="65" t="s">
        <v>573</v>
      </c>
      <c r="B130" s="66"/>
      <c r="C130" s="66"/>
      <c r="D130" s="67">
        <v>466.6666666666667</v>
      </c>
      <c r="E130" s="127"/>
      <c r="F130" s="98" t="str">
        <f>HYPERLINK("https://yt3.ggpht.com/a/AATXAJzxlppMVDeGb_5uoD12JaYZjWqGTEMrItk2YQ=s88-c-k-c0xffffffff-no-rj-mo")</f>
        <v>https://yt3.ggpht.com/a/AATXAJzxlppMVDeGb_5uoD12JaYZjWqGTEMrItk2YQ=s88-c-k-c0xffffffff-no-rj-mo</v>
      </c>
      <c r="G130" s="128"/>
      <c r="H130" s="70" t="s">
        <v>1035</v>
      </c>
      <c r="I130" s="71"/>
      <c r="J130" s="129"/>
      <c r="K130" s="70" t="s">
        <v>1035</v>
      </c>
      <c r="L130" s="130">
        <v>323.51612903225805</v>
      </c>
      <c r="M130" s="75">
        <v>8908.68359375</v>
      </c>
      <c r="N130" s="75">
        <v>2437.772705078125</v>
      </c>
      <c r="O130" s="76"/>
      <c r="P130" s="77"/>
      <c r="Q130" s="77"/>
      <c r="R130" s="131"/>
      <c r="S130" s="48">
        <v>1</v>
      </c>
      <c r="T130" s="48">
        <v>1</v>
      </c>
      <c r="U130" s="49">
        <v>0</v>
      </c>
      <c r="V130" s="49">
        <v>0.333333</v>
      </c>
      <c r="W130" s="49">
        <v>0</v>
      </c>
      <c r="X130" s="49">
        <v>0.770268</v>
      </c>
      <c r="Y130" s="49">
        <v>0</v>
      </c>
      <c r="Z130" s="49">
        <v>1</v>
      </c>
      <c r="AA130" s="72">
        <v>130</v>
      </c>
      <c r="AB130" s="72"/>
      <c r="AC130" s="73"/>
      <c r="AD130" s="80" t="s">
        <v>1035</v>
      </c>
      <c r="AE130" s="80" t="s">
        <v>1361</v>
      </c>
      <c r="AF130" s="80"/>
      <c r="AG130" s="80"/>
      <c r="AH130" s="80"/>
      <c r="AI130" s="80"/>
      <c r="AJ130" s="84">
        <v>42707.84918981481</v>
      </c>
      <c r="AK130" s="82" t="str">
        <f>HYPERLINK("https://yt3.ggpht.com/a/AATXAJzxlppMVDeGb_5uoD12JaYZjWqGTEMrItk2YQ=s88-c-k-c0xffffffff-no-rj-mo")</f>
        <v>https://yt3.ggpht.com/a/AATXAJzxlppMVDeGb_5uoD12JaYZjWqGTEMrItk2YQ=s88-c-k-c0xffffffff-no-rj-mo</v>
      </c>
      <c r="AL130" s="80">
        <v>16800</v>
      </c>
      <c r="AM130" s="80">
        <v>0</v>
      </c>
      <c r="AN130" s="80">
        <v>0</v>
      </c>
      <c r="AO130" s="80" t="b">
        <v>1</v>
      </c>
      <c r="AP130" s="80">
        <v>72</v>
      </c>
      <c r="AQ130" s="80"/>
      <c r="AR130" s="80"/>
      <c r="AS130" s="80" t="s">
        <v>230</v>
      </c>
      <c r="AT130" s="82" t="str">
        <f>HYPERLINK("https://www.youtube.com/channel/UCh_KxM9jaD6DCzneVuwjXNA")</f>
        <v>https://www.youtube.com/channel/UCh_KxM9jaD6DCzneVuwjXNA</v>
      </c>
      <c r="AU130" s="79" t="str">
        <f>REPLACE(INDEX(GroupVertices[Group],MATCH(Vertices[[#This Row],[Vertex]],GroupVertices[Vertex],0)),1,1,"")</f>
        <v>17</v>
      </c>
      <c r="AV130" s="48">
        <v>0</v>
      </c>
      <c r="AW130" s="49">
        <v>0</v>
      </c>
      <c r="AX130" s="48">
        <v>0</v>
      </c>
      <c r="AY130" s="49">
        <v>0</v>
      </c>
      <c r="AZ130" s="48">
        <v>0</v>
      </c>
      <c r="BA130" s="49">
        <v>0</v>
      </c>
      <c r="BB130" s="48">
        <v>15</v>
      </c>
      <c r="BC130" s="49">
        <v>100</v>
      </c>
      <c r="BD130" s="48">
        <v>15</v>
      </c>
      <c r="BE130" s="120" t="s">
        <v>408</v>
      </c>
      <c r="BF130" s="120" t="s">
        <v>408</v>
      </c>
      <c r="BG130" s="120" t="s">
        <v>408</v>
      </c>
      <c r="BH130" s="120" t="s">
        <v>408</v>
      </c>
      <c r="BI130" s="2"/>
      <c r="BJ130" s="3"/>
      <c r="BK130" s="3"/>
      <c r="BL130" s="3"/>
      <c r="BM130" s="3"/>
    </row>
    <row r="131" spans="1:65" ht="15">
      <c r="A131" s="65" t="s">
        <v>574</v>
      </c>
      <c r="B131" s="66"/>
      <c r="C131" s="66"/>
      <c r="D131" s="67">
        <v>1000</v>
      </c>
      <c r="E131" s="127"/>
      <c r="F131" s="98" t="str">
        <f>HYPERLINK("https://yt3.ggpht.com/a/AATXAJyOZt8YzxFlYgtyW5YgJnBqgus8BL-a80NcYw=s88-c-k-c0xffffffff-no-rj-mo")</f>
        <v>https://yt3.ggpht.com/a/AATXAJyOZt8YzxFlYgtyW5YgJnBqgus8BL-a80NcYw=s88-c-k-c0xffffffff-no-rj-mo</v>
      </c>
      <c r="G131" s="128"/>
      <c r="H131" s="70" t="s">
        <v>1036</v>
      </c>
      <c r="I131" s="71"/>
      <c r="J131" s="129"/>
      <c r="K131" s="70" t="s">
        <v>1036</v>
      </c>
      <c r="L131" s="130">
        <v>968.5483870967741</v>
      </c>
      <c r="M131" s="75">
        <v>4984.94775390625</v>
      </c>
      <c r="N131" s="75">
        <v>6358.6650390625</v>
      </c>
      <c r="O131" s="76"/>
      <c r="P131" s="77"/>
      <c r="Q131" s="77"/>
      <c r="R131" s="131"/>
      <c r="S131" s="48">
        <v>3</v>
      </c>
      <c r="T131" s="48">
        <v>3</v>
      </c>
      <c r="U131" s="49">
        <v>70</v>
      </c>
      <c r="V131" s="49">
        <v>0.020833</v>
      </c>
      <c r="W131" s="49">
        <v>0</v>
      </c>
      <c r="X131" s="49">
        <v>1.45957</v>
      </c>
      <c r="Y131" s="49">
        <v>0</v>
      </c>
      <c r="Z131" s="49">
        <v>1</v>
      </c>
      <c r="AA131" s="72">
        <v>131</v>
      </c>
      <c r="AB131" s="72"/>
      <c r="AC131" s="73"/>
      <c r="AD131" s="80" t="s">
        <v>1036</v>
      </c>
      <c r="AE131" s="80" t="s">
        <v>1362</v>
      </c>
      <c r="AF131" s="80"/>
      <c r="AG131" s="80"/>
      <c r="AH131" s="80"/>
      <c r="AI131" s="80" t="s">
        <v>1421</v>
      </c>
      <c r="AJ131" s="84">
        <v>42705.657638888886</v>
      </c>
      <c r="AK131" s="82" t="str">
        <f>HYPERLINK("https://yt3.ggpht.com/a/AATXAJyOZt8YzxFlYgtyW5YgJnBqgus8BL-a80NcYw=s88-c-k-c0xffffffff-no-rj-mo")</f>
        <v>https://yt3.ggpht.com/a/AATXAJyOZt8YzxFlYgtyW5YgJnBqgus8BL-a80NcYw=s88-c-k-c0xffffffff-no-rj-mo</v>
      </c>
      <c r="AL131" s="80">
        <v>3972737</v>
      </c>
      <c r="AM131" s="80">
        <v>0</v>
      </c>
      <c r="AN131" s="80">
        <v>53700</v>
      </c>
      <c r="AO131" s="80" t="b">
        <v>0</v>
      </c>
      <c r="AP131" s="80">
        <v>209</v>
      </c>
      <c r="AQ131" s="80"/>
      <c r="AR131" s="80"/>
      <c r="AS131" s="80" t="s">
        <v>230</v>
      </c>
      <c r="AT131" s="82" t="str">
        <f>HYPERLINK("https://www.youtube.com/channel/UC050KnRA2lffzEsB1h8uQCw")</f>
        <v>https://www.youtube.com/channel/UC050KnRA2lffzEsB1h8uQCw</v>
      </c>
      <c r="AU131" s="79" t="str">
        <f>REPLACE(INDEX(GroupVertices[Group],MATCH(Vertices[[#This Row],[Vertex]],GroupVertices[Vertex],0)),1,1,"")</f>
        <v>3</v>
      </c>
      <c r="AV131" s="48">
        <v>8</v>
      </c>
      <c r="AW131" s="49">
        <v>5.298013245033113</v>
      </c>
      <c r="AX131" s="48">
        <v>0</v>
      </c>
      <c r="AY131" s="49">
        <v>0</v>
      </c>
      <c r="AZ131" s="48">
        <v>0</v>
      </c>
      <c r="BA131" s="49">
        <v>0</v>
      </c>
      <c r="BB131" s="48">
        <v>143</v>
      </c>
      <c r="BC131" s="49">
        <v>94.70198675496688</v>
      </c>
      <c r="BD131" s="48">
        <v>151</v>
      </c>
      <c r="BE131" s="120" t="s">
        <v>408</v>
      </c>
      <c r="BF131" s="120" t="s">
        <v>408</v>
      </c>
      <c r="BG131" s="120" t="s">
        <v>408</v>
      </c>
      <c r="BH131" s="120" t="s">
        <v>408</v>
      </c>
      <c r="BI131" s="2"/>
      <c r="BJ131" s="3"/>
      <c r="BK131" s="3"/>
      <c r="BL131" s="3"/>
      <c r="BM131" s="3"/>
    </row>
    <row r="132" spans="1:65" ht="15">
      <c r="A132" s="65" t="s">
        <v>575</v>
      </c>
      <c r="B132" s="66"/>
      <c r="C132" s="66"/>
      <c r="D132" s="67">
        <v>466.6666666666667</v>
      </c>
      <c r="E132" s="127"/>
      <c r="F132" s="98" t="str">
        <f>HYPERLINK("https://yt3.ggpht.com/a/AATXAJzPcm_nzcsfIe86zDNCOqlt38__Q6X2vPpnQw=s88-c-k-c0xffffffff-no-rj-mo")</f>
        <v>https://yt3.ggpht.com/a/AATXAJzPcm_nzcsfIe86zDNCOqlt38__Q6X2vPpnQw=s88-c-k-c0xffffffff-no-rj-mo</v>
      </c>
      <c r="G132" s="128"/>
      <c r="H132" s="70" t="s">
        <v>1037</v>
      </c>
      <c r="I132" s="71"/>
      <c r="J132" s="129"/>
      <c r="K132" s="70" t="s">
        <v>1037</v>
      </c>
      <c r="L132" s="130">
        <v>323.51612903225805</v>
      </c>
      <c r="M132" s="75">
        <v>5139.35205078125</v>
      </c>
      <c r="N132" s="75">
        <v>5226.75</v>
      </c>
      <c r="O132" s="76"/>
      <c r="P132" s="77"/>
      <c r="Q132" s="77"/>
      <c r="R132" s="131"/>
      <c r="S132" s="48">
        <v>1</v>
      </c>
      <c r="T132" s="48">
        <v>1</v>
      </c>
      <c r="U132" s="49">
        <v>0</v>
      </c>
      <c r="V132" s="49">
        <v>0.015152</v>
      </c>
      <c r="W132" s="49">
        <v>0</v>
      </c>
      <c r="X132" s="49">
        <v>0.563545</v>
      </c>
      <c r="Y132" s="49">
        <v>0</v>
      </c>
      <c r="Z132" s="49">
        <v>1</v>
      </c>
      <c r="AA132" s="72">
        <v>132</v>
      </c>
      <c r="AB132" s="72"/>
      <c r="AC132" s="73"/>
      <c r="AD132" s="80" t="s">
        <v>1037</v>
      </c>
      <c r="AE132" s="80"/>
      <c r="AF132" s="80"/>
      <c r="AG132" s="80"/>
      <c r="AH132" s="80"/>
      <c r="AI132" s="80"/>
      <c r="AJ132" s="84">
        <v>41508.58974537037</v>
      </c>
      <c r="AK132" s="82" t="str">
        <f>HYPERLINK("https://yt3.ggpht.com/a/AATXAJzPcm_nzcsfIe86zDNCOqlt38__Q6X2vPpnQw=s88-c-k-c0xffffffff-no-rj-mo")</f>
        <v>https://yt3.ggpht.com/a/AATXAJzPcm_nzcsfIe86zDNCOqlt38__Q6X2vPpnQw=s88-c-k-c0xffffffff-no-rj-mo</v>
      </c>
      <c r="AL132" s="80">
        <v>0</v>
      </c>
      <c r="AM132" s="80">
        <v>0</v>
      </c>
      <c r="AN132" s="80">
        <v>0</v>
      </c>
      <c r="AO132" s="80" t="b">
        <v>0</v>
      </c>
      <c r="AP132" s="80">
        <v>0</v>
      </c>
      <c r="AQ132" s="80"/>
      <c r="AR132" s="80"/>
      <c r="AS132" s="80" t="s">
        <v>230</v>
      </c>
      <c r="AT132" s="82" t="str">
        <f>HYPERLINK("https://www.youtube.com/channel/UCvcDnuJmSOuZUEetVKojWeQ")</f>
        <v>https://www.youtube.com/channel/UCvcDnuJmSOuZUEetVKojWeQ</v>
      </c>
      <c r="AU132" s="79" t="str">
        <f>REPLACE(INDEX(GroupVertices[Group],MATCH(Vertices[[#This Row],[Vertex]],GroupVertices[Vertex],0)),1,1,"")</f>
        <v>3</v>
      </c>
      <c r="AV132" s="48"/>
      <c r="AW132" s="49"/>
      <c r="AX132" s="48"/>
      <c r="AY132" s="49"/>
      <c r="AZ132" s="48"/>
      <c r="BA132" s="49"/>
      <c r="BB132" s="48"/>
      <c r="BC132" s="49"/>
      <c r="BD132" s="48"/>
      <c r="BE132" s="120" t="s">
        <v>408</v>
      </c>
      <c r="BF132" s="120" t="s">
        <v>408</v>
      </c>
      <c r="BG132" s="120" t="s">
        <v>408</v>
      </c>
      <c r="BH132" s="120" t="s">
        <v>408</v>
      </c>
      <c r="BI132" s="2"/>
      <c r="BJ132" s="3"/>
      <c r="BK132" s="3"/>
      <c r="BL132" s="3"/>
      <c r="BM132" s="3"/>
    </row>
    <row r="133" spans="1:65" ht="15">
      <c r="A133" s="65" t="s">
        <v>576</v>
      </c>
      <c r="B133" s="66"/>
      <c r="C133" s="66"/>
      <c r="D133" s="67">
        <v>466.6666666666667</v>
      </c>
      <c r="E133" s="127"/>
      <c r="F133" s="98" t="str">
        <f>HYPERLINK("https://yt3.ggpht.com/a/AATXAJyVZYs2-il7FkgycA9as9IdDDUjPNYgTV_qTgUlLw=s88-c-k-c0xffffffff-no-rj-mo")</f>
        <v>https://yt3.ggpht.com/a/AATXAJyVZYs2-il7FkgycA9as9IdDDUjPNYgTV_qTgUlLw=s88-c-k-c0xffffffff-no-rj-mo</v>
      </c>
      <c r="G133" s="128"/>
      <c r="H133" s="70" t="s">
        <v>1038</v>
      </c>
      <c r="I133" s="71"/>
      <c r="J133" s="129"/>
      <c r="K133" s="70" t="s">
        <v>1038</v>
      </c>
      <c r="L133" s="130">
        <v>323.51612903225805</v>
      </c>
      <c r="M133" s="75">
        <v>5464.87890625</v>
      </c>
      <c r="N133" s="75">
        <v>6068.8828125</v>
      </c>
      <c r="O133" s="76"/>
      <c r="P133" s="77"/>
      <c r="Q133" s="77"/>
      <c r="R133" s="131"/>
      <c r="S133" s="48">
        <v>1</v>
      </c>
      <c r="T133" s="48">
        <v>1</v>
      </c>
      <c r="U133" s="49">
        <v>0</v>
      </c>
      <c r="V133" s="49">
        <v>0.015152</v>
      </c>
      <c r="W133" s="49">
        <v>0</v>
      </c>
      <c r="X133" s="49">
        <v>0.563545</v>
      </c>
      <c r="Y133" s="49">
        <v>0</v>
      </c>
      <c r="Z133" s="49">
        <v>1</v>
      </c>
      <c r="AA133" s="72">
        <v>133</v>
      </c>
      <c r="AB133" s="72"/>
      <c r="AC133" s="73"/>
      <c r="AD133" s="80" t="s">
        <v>1038</v>
      </c>
      <c r="AE133" s="80"/>
      <c r="AF133" s="80"/>
      <c r="AG133" s="80"/>
      <c r="AH133" s="80"/>
      <c r="AI133" s="80"/>
      <c r="AJ133" s="84">
        <v>42619.765023148146</v>
      </c>
      <c r="AK133" s="82" t="str">
        <f>HYPERLINK("https://yt3.ggpht.com/a/AATXAJyVZYs2-il7FkgycA9as9IdDDUjPNYgTV_qTgUlLw=s88-c-k-c0xffffffff-no-rj-mo")</f>
        <v>https://yt3.ggpht.com/a/AATXAJyVZYs2-il7FkgycA9as9IdDDUjPNYgTV_qTgUlLw=s88-c-k-c0xffffffff-no-rj-mo</v>
      </c>
      <c r="AL133" s="80">
        <v>6</v>
      </c>
      <c r="AM133" s="80">
        <v>0</v>
      </c>
      <c r="AN133" s="80">
        <v>0</v>
      </c>
      <c r="AO133" s="80" t="b">
        <v>0</v>
      </c>
      <c r="AP133" s="80">
        <v>1</v>
      </c>
      <c r="AQ133" s="80"/>
      <c r="AR133" s="80"/>
      <c r="AS133" s="80" t="s">
        <v>230</v>
      </c>
      <c r="AT133" s="82" t="str">
        <f>HYPERLINK("https://www.youtube.com/channel/UCGJJ3TcIzi9xorWNF8NYVrw")</f>
        <v>https://www.youtube.com/channel/UCGJJ3TcIzi9xorWNF8NYVrw</v>
      </c>
      <c r="AU133" s="79" t="str">
        <f>REPLACE(INDEX(GroupVertices[Group],MATCH(Vertices[[#This Row],[Vertex]],GroupVertices[Vertex],0)),1,1,"")</f>
        <v>3</v>
      </c>
      <c r="AV133" s="48"/>
      <c r="AW133" s="49"/>
      <c r="AX133" s="48"/>
      <c r="AY133" s="49"/>
      <c r="AZ133" s="48"/>
      <c r="BA133" s="49"/>
      <c r="BB133" s="48"/>
      <c r="BC133" s="49"/>
      <c r="BD133" s="48"/>
      <c r="BE133" s="120" t="s">
        <v>408</v>
      </c>
      <c r="BF133" s="120" t="s">
        <v>408</v>
      </c>
      <c r="BG133" s="120" t="s">
        <v>408</v>
      </c>
      <c r="BH133" s="120" t="s">
        <v>408</v>
      </c>
      <c r="BI133" s="2"/>
      <c r="BJ133" s="3"/>
      <c r="BK133" s="3"/>
      <c r="BL133" s="3"/>
      <c r="BM133" s="3"/>
    </row>
    <row r="134" spans="1:65" ht="15">
      <c r="A134" s="65" t="s">
        <v>577</v>
      </c>
      <c r="B134" s="66"/>
      <c r="C134" s="66"/>
      <c r="D134" s="67">
        <v>1000</v>
      </c>
      <c r="E134" s="127"/>
      <c r="F134" s="98" t="str">
        <f>HYPERLINK("https://yt3.ggpht.com/a/AATXAJziyuJYn9FextAVYzRHDYJHkzpW9r0kauaq8g=s88-c-k-c0xffffffff-no-rj-mo")</f>
        <v>https://yt3.ggpht.com/a/AATXAJziyuJYn9FextAVYzRHDYJHkzpW9r0kauaq8g=s88-c-k-c0xffffffff-no-rj-mo</v>
      </c>
      <c r="G134" s="128"/>
      <c r="H134" s="70" t="s">
        <v>1039</v>
      </c>
      <c r="I134" s="71"/>
      <c r="J134" s="129"/>
      <c r="K134" s="70" t="s">
        <v>1039</v>
      </c>
      <c r="L134" s="130">
        <v>1613.5806451612902</v>
      </c>
      <c r="M134" s="75">
        <v>4537.73974609375</v>
      </c>
      <c r="N134" s="75">
        <v>7096.03515625</v>
      </c>
      <c r="O134" s="76"/>
      <c r="P134" s="77"/>
      <c r="Q134" s="77"/>
      <c r="R134" s="131"/>
      <c r="S134" s="48">
        <v>5</v>
      </c>
      <c r="T134" s="48">
        <v>4</v>
      </c>
      <c r="U134" s="49">
        <v>159</v>
      </c>
      <c r="V134" s="49">
        <v>0.029412</v>
      </c>
      <c r="W134" s="49">
        <v>0</v>
      </c>
      <c r="X134" s="49">
        <v>2.06791</v>
      </c>
      <c r="Y134" s="49">
        <v>0</v>
      </c>
      <c r="Z134" s="49">
        <v>0.75</v>
      </c>
      <c r="AA134" s="72">
        <v>134</v>
      </c>
      <c r="AB134" s="72"/>
      <c r="AC134" s="73"/>
      <c r="AD134" s="80" t="s">
        <v>1039</v>
      </c>
      <c r="AE134" s="80"/>
      <c r="AF134" s="80"/>
      <c r="AG134" s="80"/>
      <c r="AH134" s="80"/>
      <c r="AI134" s="80"/>
      <c r="AJ134" s="84">
        <v>42362.69945601852</v>
      </c>
      <c r="AK134" s="82" t="str">
        <f>HYPERLINK("https://yt3.ggpht.com/a/AATXAJziyuJYn9FextAVYzRHDYJHkzpW9r0kauaq8g=s88-c-k-c0xffffffff-no-rj-mo")</f>
        <v>https://yt3.ggpht.com/a/AATXAJziyuJYn9FextAVYzRHDYJHkzpW9r0kauaq8g=s88-c-k-c0xffffffff-no-rj-mo</v>
      </c>
      <c r="AL134" s="80">
        <v>15</v>
      </c>
      <c r="AM134" s="80">
        <v>0</v>
      </c>
      <c r="AN134" s="80">
        <v>3</v>
      </c>
      <c r="AO134" s="80" t="b">
        <v>0</v>
      </c>
      <c r="AP134" s="80">
        <v>1</v>
      </c>
      <c r="AQ134" s="80"/>
      <c r="AR134" s="80"/>
      <c r="AS134" s="80" t="s">
        <v>230</v>
      </c>
      <c r="AT134" s="82" t="str">
        <f>HYPERLINK("https://www.youtube.com/channel/UCxmSF_xV8EqQkoPYJL0bQLA")</f>
        <v>https://www.youtube.com/channel/UCxmSF_xV8EqQkoPYJL0bQLA</v>
      </c>
      <c r="AU134" s="79" t="str">
        <f>REPLACE(INDEX(GroupVertices[Group],MATCH(Vertices[[#This Row],[Vertex]],GroupVertices[Vertex],0)),1,1,"")</f>
        <v>3</v>
      </c>
      <c r="AV134" s="48"/>
      <c r="AW134" s="49"/>
      <c r="AX134" s="48"/>
      <c r="AY134" s="49"/>
      <c r="AZ134" s="48"/>
      <c r="BA134" s="49"/>
      <c r="BB134" s="48"/>
      <c r="BC134" s="49"/>
      <c r="BD134" s="48"/>
      <c r="BE134" s="120" t="s">
        <v>408</v>
      </c>
      <c r="BF134" s="120" t="s">
        <v>408</v>
      </c>
      <c r="BG134" s="120" t="s">
        <v>408</v>
      </c>
      <c r="BH134" s="120" t="s">
        <v>408</v>
      </c>
      <c r="BI134" s="2"/>
      <c r="BJ134" s="3"/>
      <c r="BK134" s="3"/>
      <c r="BL134" s="3"/>
      <c r="BM134" s="3"/>
    </row>
    <row r="135" spans="1:65" ht="15">
      <c r="A135" s="65" t="s">
        <v>578</v>
      </c>
      <c r="B135" s="66"/>
      <c r="C135" s="66"/>
      <c r="D135" s="67">
        <v>1000</v>
      </c>
      <c r="E135" s="127"/>
      <c r="F135" s="98" t="str">
        <f>HYPERLINK("https://yt3.ggpht.com/a/AATXAJwHk9CV69ce74i8wBVyoCfdlvqhBHhlBR9TAQ=s88-c-k-c0xffffffff-no-rj-mo")</f>
        <v>https://yt3.ggpht.com/a/AATXAJwHk9CV69ce74i8wBVyoCfdlvqhBHhlBR9TAQ=s88-c-k-c0xffffffff-no-rj-mo</v>
      </c>
      <c r="G135" s="128"/>
      <c r="H135" s="70" t="s">
        <v>1040</v>
      </c>
      <c r="I135" s="71"/>
      <c r="J135" s="129"/>
      <c r="K135" s="70" t="s">
        <v>1040</v>
      </c>
      <c r="L135" s="130">
        <v>3871.1935483870966</v>
      </c>
      <c r="M135" s="75">
        <v>4478.65673828125</v>
      </c>
      <c r="N135" s="75">
        <v>8408.6142578125</v>
      </c>
      <c r="O135" s="76"/>
      <c r="P135" s="77"/>
      <c r="Q135" s="77"/>
      <c r="R135" s="131"/>
      <c r="S135" s="48">
        <v>12</v>
      </c>
      <c r="T135" s="48">
        <v>12</v>
      </c>
      <c r="U135" s="49">
        <v>275</v>
      </c>
      <c r="V135" s="49">
        <v>0.033333</v>
      </c>
      <c r="W135" s="49">
        <v>0</v>
      </c>
      <c r="X135" s="49">
        <v>5.335456</v>
      </c>
      <c r="Y135" s="49">
        <v>0</v>
      </c>
      <c r="Z135" s="49">
        <v>1</v>
      </c>
      <c r="AA135" s="72">
        <v>135</v>
      </c>
      <c r="AB135" s="72"/>
      <c r="AC135" s="73"/>
      <c r="AD135" s="80" t="s">
        <v>1040</v>
      </c>
      <c r="AE135" s="80" t="s">
        <v>1363</v>
      </c>
      <c r="AF135" s="80"/>
      <c r="AG135" s="80"/>
      <c r="AH135" s="80"/>
      <c r="AI135" s="80" t="s">
        <v>1422</v>
      </c>
      <c r="AJ135" s="84">
        <v>40841.92752314815</v>
      </c>
      <c r="AK135" s="82" t="str">
        <f>HYPERLINK("https://yt3.ggpht.com/a/AATXAJwHk9CV69ce74i8wBVyoCfdlvqhBHhlBR9TAQ=s88-c-k-c0xffffffff-no-rj-mo")</f>
        <v>https://yt3.ggpht.com/a/AATXAJwHk9CV69ce74i8wBVyoCfdlvqhBHhlBR9TAQ=s88-c-k-c0xffffffff-no-rj-mo</v>
      </c>
      <c r="AL135" s="80">
        <v>13752</v>
      </c>
      <c r="AM135" s="80">
        <v>0</v>
      </c>
      <c r="AN135" s="80">
        <v>1660</v>
      </c>
      <c r="AO135" s="80" t="b">
        <v>0</v>
      </c>
      <c r="AP135" s="80">
        <v>43</v>
      </c>
      <c r="AQ135" s="80"/>
      <c r="AR135" s="80"/>
      <c r="AS135" s="80" t="s">
        <v>230</v>
      </c>
      <c r="AT135" s="82" t="str">
        <f>HYPERLINK("https://www.youtube.com/channel/UC5fs7PookxGfDPTo-RU0ReQ")</f>
        <v>https://www.youtube.com/channel/UC5fs7PookxGfDPTo-RU0ReQ</v>
      </c>
      <c r="AU135" s="79" t="str">
        <f>REPLACE(INDEX(GroupVertices[Group],MATCH(Vertices[[#This Row],[Vertex]],GroupVertices[Vertex],0)),1,1,"")</f>
        <v>3</v>
      </c>
      <c r="AV135" s="48">
        <v>13</v>
      </c>
      <c r="AW135" s="49">
        <v>8.609271523178808</v>
      </c>
      <c r="AX135" s="48">
        <v>0</v>
      </c>
      <c r="AY135" s="49">
        <v>0</v>
      </c>
      <c r="AZ135" s="48">
        <v>0</v>
      </c>
      <c r="BA135" s="49">
        <v>0</v>
      </c>
      <c r="BB135" s="48">
        <v>138</v>
      </c>
      <c r="BC135" s="49">
        <v>91.3907284768212</v>
      </c>
      <c r="BD135" s="48">
        <v>151</v>
      </c>
      <c r="BE135" s="120" t="s">
        <v>408</v>
      </c>
      <c r="BF135" s="120" t="s">
        <v>408</v>
      </c>
      <c r="BG135" s="120" t="s">
        <v>408</v>
      </c>
      <c r="BH135" s="120" t="s">
        <v>408</v>
      </c>
      <c r="BI135" s="2"/>
      <c r="BJ135" s="3"/>
      <c r="BK135" s="3"/>
      <c r="BL135" s="3"/>
      <c r="BM135" s="3"/>
    </row>
    <row r="136" spans="1:65" ht="15">
      <c r="A136" s="65" t="s">
        <v>579</v>
      </c>
      <c r="B136" s="66"/>
      <c r="C136" s="66"/>
      <c r="D136" s="67">
        <v>466.6666666666667</v>
      </c>
      <c r="E136" s="127"/>
      <c r="F136" s="98" t="str">
        <f>HYPERLINK("https://yt3.ggpht.com/a/AATXAJyhlso-XCfwsQeLlZxhiTgyX0RxNeEoh_7AtA=s88-c-k-c0xffffffff-no-rj-mo")</f>
        <v>https://yt3.ggpht.com/a/AATXAJyhlso-XCfwsQeLlZxhiTgyX0RxNeEoh_7AtA=s88-c-k-c0xffffffff-no-rj-mo</v>
      </c>
      <c r="G136" s="128"/>
      <c r="H136" s="70" t="s">
        <v>1041</v>
      </c>
      <c r="I136" s="71"/>
      <c r="J136" s="129"/>
      <c r="K136" s="70" t="s">
        <v>1041</v>
      </c>
      <c r="L136" s="130">
        <v>323.51612903225805</v>
      </c>
      <c r="M136" s="75">
        <v>4791.1357421875</v>
      </c>
      <c r="N136" s="75">
        <v>8221.873046875</v>
      </c>
      <c r="O136" s="76"/>
      <c r="P136" s="77"/>
      <c r="Q136" s="77"/>
      <c r="R136" s="131"/>
      <c r="S136" s="48">
        <v>1</v>
      </c>
      <c r="T136" s="48">
        <v>1</v>
      </c>
      <c r="U136" s="49">
        <v>0</v>
      </c>
      <c r="V136" s="49">
        <v>0.020833</v>
      </c>
      <c r="W136" s="49">
        <v>0</v>
      </c>
      <c r="X136" s="49">
        <v>0.527928</v>
      </c>
      <c r="Y136" s="49">
        <v>0</v>
      </c>
      <c r="Z136" s="49">
        <v>1</v>
      </c>
      <c r="AA136" s="72">
        <v>136</v>
      </c>
      <c r="AB136" s="72"/>
      <c r="AC136" s="73"/>
      <c r="AD136" s="80" t="s">
        <v>1041</v>
      </c>
      <c r="AE136" s="80"/>
      <c r="AF136" s="80"/>
      <c r="AG136" s="80"/>
      <c r="AH136" s="80"/>
      <c r="AI136" s="80"/>
      <c r="AJ136" s="84">
        <v>41928.732615740744</v>
      </c>
      <c r="AK136" s="82" t="str">
        <f>HYPERLINK("https://yt3.ggpht.com/a/AATXAJyhlso-XCfwsQeLlZxhiTgyX0RxNeEoh_7AtA=s88-c-k-c0xffffffff-no-rj-mo")</f>
        <v>https://yt3.ggpht.com/a/AATXAJyhlso-XCfwsQeLlZxhiTgyX0RxNeEoh_7AtA=s88-c-k-c0xffffffff-no-rj-mo</v>
      </c>
      <c r="AL136" s="80">
        <v>210</v>
      </c>
      <c r="AM136" s="80">
        <v>0</v>
      </c>
      <c r="AN136" s="80">
        <v>51</v>
      </c>
      <c r="AO136" s="80" t="b">
        <v>0</v>
      </c>
      <c r="AP136" s="80">
        <v>3</v>
      </c>
      <c r="AQ136" s="80"/>
      <c r="AR136" s="80"/>
      <c r="AS136" s="80" t="s">
        <v>230</v>
      </c>
      <c r="AT136" s="82" t="str">
        <f>HYPERLINK("https://www.youtube.com/channel/UCHSzVUk8Rnb_8pTm2tFIpqw")</f>
        <v>https://www.youtube.com/channel/UCHSzVUk8Rnb_8pTm2tFIpqw</v>
      </c>
      <c r="AU136" s="79" t="str">
        <f>REPLACE(INDEX(GroupVertices[Group],MATCH(Vertices[[#This Row],[Vertex]],GroupVertices[Vertex],0)),1,1,"")</f>
        <v>3</v>
      </c>
      <c r="AV136" s="48"/>
      <c r="AW136" s="49"/>
      <c r="AX136" s="48"/>
      <c r="AY136" s="49"/>
      <c r="AZ136" s="48"/>
      <c r="BA136" s="49"/>
      <c r="BB136" s="48"/>
      <c r="BC136" s="49"/>
      <c r="BD136" s="48"/>
      <c r="BE136" s="120" t="s">
        <v>408</v>
      </c>
      <c r="BF136" s="120" t="s">
        <v>408</v>
      </c>
      <c r="BG136" s="120" t="s">
        <v>408</v>
      </c>
      <c r="BH136" s="120" t="s">
        <v>408</v>
      </c>
      <c r="BI136" s="2"/>
      <c r="BJ136" s="3"/>
      <c r="BK136" s="3"/>
      <c r="BL136" s="3"/>
      <c r="BM136" s="3"/>
    </row>
    <row r="137" spans="1:65" ht="15">
      <c r="A137" s="65" t="s">
        <v>580</v>
      </c>
      <c r="B137" s="66"/>
      <c r="C137" s="66"/>
      <c r="D137" s="67">
        <v>466.6666666666667</v>
      </c>
      <c r="E137" s="127"/>
      <c r="F137" s="98" t="str">
        <f>HYPERLINK("https://yt3.ggpht.com/a/AATXAJyOt2evXhLfkzwp3qO4RUuOcXyaBqZ0061OGQ=s88-c-k-c0xffffffff-no-rj-mo")</f>
        <v>https://yt3.ggpht.com/a/AATXAJyOt2evXhLfkzwp3qO4RUuOcXyaBqZ0061OGQ=s88-c-k-c0xffffffff-no-rj-mo</v>
      </c>
      <c r="G137" s="128"/>
      <c r="H137" s="70" t="s">
        <v>1042</v>
      </c>
      <c r="I137" s="71"/>
      <c r="J137" s="129"/>
      <c r="K137" s="70" t="s">
        <v>1042</v>
      </c>
      <c r="L137" s="130">
        <v>323.51612903225805</v>
      </c>
      <c r="M137" s="75">
        <v>4232.4306640625</v>
      </c>
      <c r="N137" s="75">
        <v>9587.2451171875</v>
      </c>
      <c r="O137" s="76"/>
      <c r="P137" s="77"/>
      <c r="Q137" s="77"/>
      <c r="R137" s="131"/>
      <c r="S137" s="48">
        <v>1</v>
      </c>
      <c r="T137" s="48">
        <v>1</v>
      </c>
      <c r="U137" s="49">
        <v>0</v>
      </c>
      <c r="V137" s="49">
        <v>0.020833</v>
      </c>
      <c r="W137" s="49">
        <v>0</v>
      </c>
      <c r="X137" s="49">
        <v>0.527928</v>
      </c>
      <c r="Y137" s="49">
        <v>0</v>
      </c>
      <c r="Z137" s="49">
        <v>1</v>
      </c>
      <c r="AA137" s="72">
        <v>137</v>
      </c>
      <c r="AB137" s="72"/>
      <c r="AC137" s="73"/>
      <c r="AD137" s="80" t="s">
        <v>1042</v>
      </c>
      <c r="AE137" s="80" t="s">
        <v>1364</v>
      </c>
      <c r="AF137" s="80"/>
      <c r="AG137" s="80"/>
      <c r="AH137" s="80"/>
      <c r="AI137" s="80"/>
      <c r="AJ137" s="84">
        <v>42090.52898148148</v>
      </c>
      <c r="AK137" s="82" t="str">
        <f>HYPERLINK("https://yt3.ggpht.com/a/AATXAJyOt2evXhLfkzwp3qO4RUuOcXyaBqZ0061OGQ=s88-c-k-c0xffffffff-no-rj-mo")</f>
        <v>https://yt3.ggpht.com/a/AATXAJyOt2evXhLfkzwp3qO4RUuOcXyaBqZ0061OGQ=s88-c-k-c0xffffffff-no-rj-mo</v>
      </c>
      <c r="AL137" s="80">
        <v>5837</v>
      </c>
      <c r="AM137" s="80">
        <v>0</v>
      </c>
      <c r="AN137" s="80">
        <v>39</v>
      </c>
      <c r="AO137" s="80" t="b">
        <v>0</v>
      </c>
      <c r="AP137" s="80">
        <v>19</v>
      </c>
      <c r="AQ137" s="80"/>
      <c r="AR137" s="80"/>
      <c r="AS137" s="80" t="s">
        <v>230</v>
      </c>
      <c r="AT137" s="82" t="str">
        <f>HYPERLINK("https://www.youtube.com/channel/UCfhu72jDk7Uxmifji_8B2qg")</f>
        <v>https://www.youtube.com/channel/UCfhu72jDk7Uxmifji_8B2qg</v>
      </c>
      <c r="AU137" s="79" t="str">
        <f>REPLACE(INDEX(GroupVertices[Group],MATCH(Vertices[[#This Row],[Vertex]],GroupVertices[Vertex],0)),1,1,"")</f>
        <v>3</v>
      </c>
      <c r="AV137" s="48">
        <v>1</v>
      </c>
      <c r="AW137" s="49">
        <v>25</v>
      </c>
      <c r="AX137" s="48">
        <v>0</v>
      </c>
      <c r="AY137" s="49">
        <v>0</v>
      </c>
      <c r="AZ137" s="48">
        <v>0</v>
      </c>
      <c r="BA137" s="49">
        <v>0</v>
      </c>
      <c r="BB137" s="48">
        <v>3</v>
      </c>
      <c r="BC137" s="49">
        <v>75</v>
      </c>
      <c r="BD137" s="48">
        <v>4</v>
      </c>
      <c r="BE137" s="120" t="s">
        <v>408</v>
      </c>
      <c r="BF137" s="120" t="s">
        <v>408</v>
      </c>
      <c r="BG137" s="120" t="s">
        <v>408</v>
      </c>
      <c r="BH137" s="120" t="s">
        <v>408</v>
      </c>
      <c r="BI137" s="2"/>
      <c r="BJ137" s="3"/>
      <c r="BK137" s="3"/>
      <c r="BL137" s="3"/>
      <c r="BM137" s="3"/>
    </row>
    <row r="138" spans="1:65" ht="15">
      <c r="A138" s="65" t="s">
        <v>581</v>
      </c>
      <c r="B138" s="66"/>
      <c r="C138" s="66"/>
      <c r="D138" s="67">
        <v>466.6666666666667</v>
      </c>
      <c r="E138" s="127"/>
      <c r="F138" s="98" t="str">
        <f>HYPERLINK("https://yt3.ggpht.com/a/AATXAJwYpQT0v3w9hrYf14FuBL1l_Sj8IIy7LL3Lxw=s88-c-k-c0xffffffff-no-rj-mo")</f>
        <v>https://yt3.ggpht.com/a/AATXAJwYpQT0v3w9hrYf14FuBL1l_Sj8IIy7LL3Lxw=s88-c-k-c0xffffffff-no-rj-mo</v>
      </c>
      <c r="G138" s="128"/>
      <c r="H138" s="70" t="s">
        <v>1043</v>
      </c>
      <c r="I138" s="71"/>
      <c r="J138" s="129"/>
      <c r="K138" s="70" t="s">
        <v>1043</v>
      </c>
      <c r="L138" s="130">
        <v>323.51612903225805</v>
      </c>
      <c r="M138" s="75">
        <v>4793.82568359375</v>
      </c>
      <c r="N138" s="75">
        <v>9592.9560546875</v>
      </c>
      <c r="O138" s="76"/>
      <c r="P138" s="77"/>
      <c r="Q138" s="77"/>
      <c r="R138" s="131"/>
      <c r="S138" s="48">
        <v>1</v>
      </c>
      <c r="T138" s="48">
        <v>1</v>
      </c>
      <c r="U138" s="49">
        <v>0</v>
      </c>
      <c r="V138" s="49">
        <v>0.020833</v>
      </c>
      <c r="W138" s="49">
        <v>0</v>
      </c>
      <c r="X138" s="49">
        <v>0.527928</v>
      </c>
      <c r="Y138" s="49">
        <v>0</v>
      </c>
      <c r="Z138" s="49">
        <v>1</v>
      </c>
      <c r="AA138" s="72">
        <v>138</v>
      </c>
      <c r="AB138" s="72"/>
      <c r="AC138" s="73"/>
      <c r="AD138" s="80" t="s">
        <v>1043</v>
      </c>
      <c r="AE138" s="80"/>
      <c r="AF138" s="80"/>
      <c r="AG138" s="80"/>
      <c r="AH138" s="80"/>
      <c r="AI138" s="80" t="s">
        <v>1423</v>
      </c>
      <c r="AJ138" s="84">
        <v>40953.63287037037</v>
      </c>
      <c r="AK138" s="82" t="str">
        <f>HYPERLINK("https://yt3.ggpht.com/a/AATXAJwYpQT0v3w9hrYf14FuBL1l_Sj8IIy7LL3Lxw=s88-c-k-c0xffffffff-no-rj-mo")</f>
        <v>https://yt3.ggpht.com/a/AATXAJwYpQT0v3w9hrYf14FuBL1l_Sj8IIy7LL3Lxw=s88-c-k-c0xffffffff-no-rj-mo</v>
      </c>
      <c r="AL138" s="80">
        <v>0</v>
      </c>
      <c r="AM138" s="80">
        <v>0</v>
      </c>
      <c r="AN138" s="80">
        <v>3</v>
      </c>
      <c r="AO138" s="80" t="b">
        <v>0</v>
      </c>
      <c r="AP138" s="80">
        <v>0</v>
      </c>
      <c r="AQ138" s="80"/>
      <c r="AR138" s="80"/>
      <c r="AS138" s="80" t="s">
        <v>230</v>
      </c>
      <c r="AT138" s="82" t="str">
        <f>HYPERLINK("https://www.youtube.com/channel/UCyCaC7wGxDxT93063_XMMQw")</f>
        <v>https://www.youtube.com/channel/UCyCaC7wGxDxT93063_XMMQw</v>
      </c>
      <c r="AU138" s="79" t="str">
        <f>REPLACE(INDEX(GroupVertices[Group],MATCH(Vertices[[#This Row],[Vertex]],GroupVertices[Vertex],0)),1,1,"")</f>
        <v>3</v>
      </c>
      <c r="AV138" s="48"/>
      <c r="AW138" s="49"/>
      <c r="AX138" s="48"/>
      <c r="AY138" s="49"/>
      <c r="AZ138" s="48"/>
      <c r="BA138" s="49"/>
      <c r="BB138" s="48"/>
      <c r="BC138" s="49"/>
      <c r="BD138" s="48"/>
      <c r="BE138" s="120" t="s">
        <v>408</v>
      </c>
      <c r="BF138" s="120" t="s">
        <v>408</v>
      </c>
      <c r="BG138" s="120" t="s">
        <v>408</v>
      </c>
      <c r="BH138" s="120" t="s">
        <v>408</v>
      </c>
      <c r="BI138" s="2"/>
      <c r="BJ138" s="3"/>
      <c r="BK138" s="3"/>
      <c r="BL138" s="3"/>
      <c r="BM138" s="3"/>
    </row>
    <row r="139" spans="1:65" ht="15">
      <c r="A139" s="65" t="s">
        <v>582</v>
      </c>
      <c r="B139" s="66"/>
      <c r="C139" s="66"/>
      <c r="D139" s="67">
        <v>1000</v>
      </c>
      <c r="E139" s="127"/>
      <c r="F139" s="98" t="str">
        <f>HYPERLINK("https://yt3.ggpht.com/a/AATXAJwghc-8agK6uemn_Rb3ImkxWkTyJTFnkXwBeQ=s88-c-k-c0xffffffff-no-rj-mo")</f>
        <v>https://yt3.ggpht.com/a/AATXAJwghc-8agK6uemn_Rb3ImkxWkTyJTFnkXwBeQ=s88-c-k-c0xffffffff-no-rj-mo</v>
      </c>
      <c r="G139" s="128"/>
      <c r="H139" s="70" t="s">
        <v>1044</v>
      </c>
      <c r="I139" s="71"/>
      <c r="J139" s="129"/>
      <c r="K139" s="70" t="s">
        <v>1044</v>
      </c>
      <c r="L139" s="130">
        <v>1291.0645161290322</v>
      </c>
      <c r="M139" s="75">
        <v>4076.821044921875</v>
      </c>
      <c r="N139" s="75">
        <v>6406.01025390625</v>
      </c>
      <c r="O139" s="76"/>
      <c r="P139" s="77"/>
      <c r="Q139" s="77"/>
      <c r="R139" s="131"/>
      <c r="S139" s="48">
        <v>4</v>
      </c>
      <c r="T139" s="48">
        <v>4</v>
      </c>
      <c r="U139" s="49">
        <v>75</v>
      </c>
      <c r="V139" s="49">
        <v>0.021739</v>
      </c>
      <c r="W139" s="49">
        <v>0</v>
      </c>
      <c r="X139" s="49">
        <v>1.640379</v>
      </c>
      <c r="Y139" s="49">
        <v>0</v>
      </c>
      <c r="Z139" s="49">
        <v>1</v>
      </c>
      <c r="AA139" s="72">
        <v>139</v>
      </c>
      <c r="AB139" s="72"/>
      <c r="AC139" s="73"/>
      <c r="AD139" s="80" t="s">
        <v>1044</v>
      </c>
      <c r="AE139" s="80" t="s">
        <v>1365</v>
      </c>
      <c r="AF139" s="80"/>
      <c r="AG139" s="80"/>
      <c r="AH139" s="80"/>
      <c r="AI139" s="80" t="s">
        <v>1424</v>
      </c>
      <c r="AJ139" s="84">
        <v>41540.58553240741</v>
      </c>
      <c r="AK139" s="82" t="str">
        <f>HYPERLINK("https://yt3.ggpht.com/a/AATXAJwghc-8agK6uemn_Rb3ImkxWkTyJTFnkXwBeQ=s88-c-k-c0xffffffff-no-rj-mo")</f>
        <v>https://yt3.ggpht.com/a/AATXAJwghc-8agK6uemn_Rb3ImkxWkTyJTFnkXwBeQ=s88-c-k-c0xffffffff-no-rj-mo</v>
      </c>
      <c r="AL139" s="80">
        <v>34943</v>
      </c>
      <c r="AM139" s="80">
        <v>0</v>
      </c>
      <c r="AN139" s="80">
        <v>1690</v>
      </c>
      <c r="AO139" s="80" t="b">
        <v>0</v>
      </c>
      <c r="AP139" s="80">
        <v>139</v>
      </c>
      <c r="AQ139" s="80"/>
      <c r="AR139" s="80"/>
      <c r="AS139" s="80" t="s">
        <v>230</v>
      </c>
      <c r="AT139" s="82" t="str">
        <f>HYPERLINK("https://www.youtube.com/channel/UCjg2kAW7dd0nmCmHrCSVUng")</f>
        <v>https://www.youtube.com/channel/UCjg2kAW7dd0nmCmHrCSVUng</v>
      </c>
      <c r="AU139" s="79" t="str">
        <f>REPLACE(INDEX(GroupVertices[Group],MATCH(Vertices[[#This Row],[Vertex]],GroupVertices[Vertex],0)),1,1,"")</f>
        <v>3</v>
      </c>
      <c r="AV139" s="48">
        <v>2</v>
      </c>
      <c r="AW139" s="49">
        <v>4.761904761904762</v>
      </c>
      <c r="AX139" s="48">
        <v>0</v>
      </c>
      <c r="AY139" s="49">
        <v>0</v>
      </c>
      <c r="AZ139" s="48">
        <v>0</v>
      </c>
      <c r="BA139" s="49">
        <v>0</v>
      </c>
      <c r="BB139" s="48">
        <v>40</v>
      </c>
      <c r="BC139" s="49">
        <v>95.23809523809524</v>
      </c>
      <c r="BD139" s="48">
        <v>42</v>
      </c>
      <c r="BE139" s="120" t="s">
        <v>408</v>
      </c>
      <c r="BF139" s="120" t="s">
        <v>408</v>
      </c>
      <c r="BG139" s="120" t="s">
        <v>408</v>
      </c>
      <c r="BH139" s="120" t="s">
        <v>408</v>
      </c>
      <c r="BI139" s="2"/>
      <c r="BJ139" s="3"/>
      <c r="BK139" s="3"/>
      <c r="BL139" s="3"/>
      <c r="BM139" s="3"/>
    </row>
    <row r="140" spans="1:65" ht="15">
      <c r="A140" s="65" t="s">
        <v>583</v>
      </c>
      <c r="B140" s="66"/>
      <c r="C140" s="66"/>
      <c r="D140" s="67">
        <v>466.6666666666667</v>
      </c>
      <c r="E140" s="127"/>
      <c r="F140" s="98" t="str">
        <f>HYPERLINK("https://yt3.ggpht.com/a/AATXAJwJXCKgmpojzUgRmAkW0Hiut5OjTPwHOBKusg=s88-c-k-c0xffffffff-no-rj-mo")</f>
        <v>https://yt3.ggpht.com/a/AATXAJwJXCKgmpojzUgRmAkW0Hiut5OjTPwHOBKusg=s88-c-k-c0xffffffff-no-rj-mo</v>
      </c>
      <c r="G140" s="128"/>
      <c r="H140" s="70" t="s">
        <v>1045</v>
      </c>
      <c r="I140" s="71"/>
      <c r="J140" s="129"/>
      <c r="K140" s="70" t="s">
        <v>1045</v>
      </c>
      <c r="L140" s="130">
        <v>323.51612903225805</v>
      </c>
      <c r="M140" s="75">
        <v>3603.363037109375</v>
      </c>
      <c r="N140" s="75">
        <v>6000.1123046875</v>
      </c>
      <c r="O140" s="76"/>
      <c r="P140" s="77"/>
      <c r="Q140" s="77"/>
      <c r="R140" s="131"/>
      <c r="S140" s="48">
        <v>1</v>
      </c>
      <c r="T140" s="48">
        <v>1</v>
      </c>
      <c r="U140" s="49">
        <v>0</v>
      </c>
      <c r="V140" s="49">
        <v>0.015625</v>
      </c>
      <c r="W140" s="49">
        <v>0</v>
      </c>
      <c r="X140" s="49">
        <v>0.49858</v>
      </c>
      <c r="Y140" s="49">
        <v>0</v>
      </c>
      <c r="Z140" s="49">
        <v>1</v>
      </c>
      <c r="AA140" s="72">
        <v>140</v>
      </c>
      <c r="AB140" s="72"/>
      <c r="AC140" s="73"/>
      <c r="AD140" s="80" t="s">
        <v>1045</v>
      </c>
      <c r="AE140" s="80"/>
      <c r="AF140" s="80"/>
      <c r="AG140" s="80"/>
      <c r="AH140" s="80"/>
      <c r="AI140" s="80"/>
      <c r="AJ140" s="84">
        <v>40748.65012731482</v>
      </c>
      <c r="AK140" s="82" t="str">
        <f>HYPERLINK("https://yt3.ggpht.com/a/AATXAJwJXCKgmpojzUgRmAkW0Hiut5OjTPwHOBKusg=s88-c-k-c0xffffffff-no-rj-mo")</f>
        <v>https://yt3.ggpht.com/a/AATXAJwJXCKgmpojzUgRmAkW0Hiut5OjTPwHOBKusg=s88-c-k-c0xffffffff-no-rj-mo</v>
      </c>
      <c r="AL140" s="80">
        <v>24</v>
      </c>
      <c r="AM140" s="80">
        <v>0</v>
      </c>
      <c r="AN140" s="80">
        <v>0</v>
      </c>
      <c r="AO140" s="80" t="b">
        <v>0</v>
      </c>
      <c r="AP140" s="80">
        <v>4</v>
      </c>
      <c r="AQ140" s="80"/>
      <c r="AR140" s="80"/>
      <c r="AS140" s="80" t="s">
        <v>230</v>
      </c>
      <c r="AT140" s="82" t="str">
        <f>HYPERLINK("https://www.youtube.com/channel/UCw9VbBLCPPDHCU8ocVaYbyQ")</f>
        <v>https://www.youtube.com/channel/UCw9VbBLCPPDHCU8ocVaYbyQ</v>
      </c>
      <c r="AU140" s="79" t="str">
        <f>REPLACE(INDEX(GroupVertices[Group],MATCH(Vertices[[#This Row],[Vertex]],GroupVertices[Vertex],0)),1,1,"")</f>
        <v>3</v>
      </c>
      <c r="AV140" s="48"/>
      <c r="AW140" s="49"/>
      <c r="AX140" s="48"/>
      <c r="AY140" s="49"/>
      <c r="AZ140" s="48"/>
      <c r="BA140" s="49"/>
      <c r="BB140" s="48"/>
      <c r="BC140" s="49"/>
      <c r="BD140" s="48"/>
      <c r="BE140" s="120" t="s">
        <v>408</v>
      </c>
      <c r="BF140" s="120" t="s">
        <v>408</v>
      </c>
      <c r="BG140" s="120" t="s">
        <v>408</v>
      </c>
      <c r="BH140" s="120" t="s">
        <v>408</v>
      </c>
      <c r="BI140" s="2"/>
      <c r="BJ140" s="3"/>
      <c r="BK140" s="3"/>
      <c r="BL140" s="3"/>
      <c r="BM140" s="3"/>
    </row>
    <row r="141" spans="1:65" ht="15">
      <c r="A141" s="65" t="s">
        <v>584</v>
      </c>
      <c r="B141" s="66"/>
      <c r="C141" s="66"/>
      <c r="D141" s="67">
        <v>1000</v>
      </c>
      <c r="E141" s="127"/>
      <c r="F141" s="98" t="str">
        <f>HYPERLINK("https://yt3.ggpht.com/a/AATXAJyFXacuIZQZd27srLhMi_uX7e0EdLafbU8i3A=s88-c-k-c0xffffffff-no-rj-mo")</f>
        <v>https://yt3.ggpht.com/a/AATXAJyFXacuIZQZd27srLhMi_uX7e0EdLafbU8i3A=s88-c-k-c0xffffffff-no-rj-mo</v>
      </c>
      <c r="G141" s="128"/>
      <c r="H141" s="70" t="s">
        <v>1046</v>
      </c>
      <c r="I141" s="71"/>
      <c r="J141" s="129"/>
      <c r="K141" s="70" t="s">
        <v>1046</v>
      </c>
      <c r="L141" s="130">
        <v>968.5483870967741</v>
      </c>
      <c r="M141" s="75">
        <v>4080.6435546875</v>
      </c>
      <c r="N141" s="75">
        <v>7597.42529296875</v>
      </c>
      <c r="O141" s="76"/>
      <c r="P141" s="77"/>
      <c r="Q141" s="77"/>
      <c r="R141" s="131"/>
      <c r="S141" s="48">
        <v>3</v>
      </c>
      <c r="T141" s="48">
        <v>3</v>
      </c>
      <c r="U141" s="49">
        <v>33</v>
      </c>
      <c r="V141" s="49">
        <v>0.02381</v>
      </c>
      <c r="W141" s="49">
        <v>0</v>
      </c>
      <c r="X141" s="49">
        <v>1.223035</v>
      </c>
      <c r="Y141" s="49">
        <v>0</v>
      </c>
      <c r="Z141" s="49">
        <v>1</v>
      </c>
      <c r="AA141" s="72">
        <v>141</v>
      </c>
      <c r="AB141" s="72"/>
      <c r="AC141" s="73"/>
      <c r="AD141" s="80" t="s">
        <v>1046</v>
      </c>
      <c r="AE141" s="80"/>
      <c r="AF141" s="80"/>
      <c r="AG141" s="80"/>
      <c r="AH141" s="80"/>
      <c r="AI141" s="80"/>
      <c r="AJ141" s="84">
        <v>42217.74511574074</v>
      </c>
      <c r="AK141" s="82" t="str">
        <f>HYPERLINK("https://yt3.ggpht.com/a/AATXAJyFXacuIZQZd27srLhMi_uX7e0EdLafbU8i3A=s88-c-k-c0xffffffff-no-rj-mo")</f>
        <v>https://yt3.ggpht.com/a/AATXAJyFXacuIZQZd27srLhMi_uX7e0EdLafbU8i3A=s88-c-k-c0xffffffff-no-rj-mo</v>
      </c>
      <c r="AL141" s="80">
        <v>14</v>
      </c>
      <c r="AM141" s="80">
        <v>0</v>
      </c>
      <c r="AN141" s="80">
        <v>1</v>
      </c>
      <c r="AO141" s="80" t="b">
        <v>0</v>
      </c>
      <c r="AP141" s="80">
        <v>1</v>
      </c>
      <c r="AQ141" s="80"/>
      <c r="AR141" s="80"/>
      <c r="AS141" s="80" t="s">
        <v>230</v>
      </c>
      <c r="AT141" s="82" t="str">
        <f>HYPERLINK("https://www.youtube.com/channel/UC1rRu-VgjGKeuGQmoEs_oag")</f>
        <v>https://www.youtube.com/channel/UC1rRu-VgjGKeuGQmoEs_oag</v>
      </c>
      <c r="AU141" s="79" t="str">
        <f>REPLACE(INDEX(GroupVertices[Group],MATCH(Vertices[[#This Row],[Vertex]],GroupVertices[Vertex],0)),1,1,"")</f>
        <v>3</v>
      </c>
      <c r="AV141" s="48"/>
      <c r="AW141" s="49"/>
      <c r="AX141" s="48"/>
      <c r="AY141" s="49"/>
      <c r="AZ141" s="48"/>
      <c r="BA141" s="49"/>
      <c r="BB141" s="48"/>
      <c r="BC141" s="49"/>
      <c r="BD141" s="48"/>
      <c r="BE141" s="120" t="s">
        <v>408</v>
      </c>
      <c r="BF141" s="120" t="s">
        <v>408</v>
      </c>
      <c r="BG141" s="120" t="s">
        <v>408</v>
      </c>
      <c r="BH141" s="120" t="s">
        <v>408</v>
      </c>
      <c r="BI141" s="2"/>
      <c r="BJ141" s="3"/>
      <c r="BK141" s="3"/>
      <c r="BL141" s="3"/>
      <c r="BM141" s="3"/>
    </row>
    <row r="142" spans="1:65" ht="15">
      <c r="A142" s="65" t="s">
        <v>585</v>
      </c>
      <c r="B142" s="66"/>
      <c r="C142" s="66"/>
      <c r="D142" s="67">
        <v>733.3333333333334</v>
      </c>
      <c r="E142" s="127"/>
      <c r="F142" s="98" t="str">
        <f>HYPERLINK("https://yt3.ggpht.com/a/AATXAJx3Qs2D-Xe7kODhNAYcgH3It5yomy3Uk8p8sCg_tg=s88-c-k-c0xffffffff-no-rj-mo")</f>
        <v>https://yt3.ggpht.com/a/AATXAJx3Qs2D-Xe7kODhNAYcgH3It5yomy3Uk8p8sCg_tg=s88-c-k-c0xffffffff-no-rj-mo</v>
      </c>
      <c r="G142" s="128"/>
      <c r="H142" s="70" t="s">
        <v>1047</v>
      </c>
      <c r="I142" s="71"/>
      <c r="J142" s="129"/>
      <c r="K142" s="70" t="s">
        <v>1047</v>
      </c>
      <c r="L142" s="130">
        <v>646.0322580645161</v>
      </c>
      <c r="M142" s="75">
        <v>3922.111572265625</v>
      </c>
      <c r="N142" s="75">
        <v>5292.00048828125</v>
      </c>
      <c r="O142" s="76"/>
      <c r="P142" s="77"/>
      <c r="Q142" s="77"/>
      <c r="R142" s="131"/>
      <c r="S142" s="48">
        <v>2</v>
      </c>
      <c r="T142" s="48">
        <v>2</v>
      </c>
      <c r="U142" s="49">
        <v>0</v>
      </c>
      <c r="V142" s="49">
        <v>0.015625</v>
      </c>
      <c r="W142" s="49">
        <v>0</v>
      </c>
      <c r="X142" s="49">
        <v>0.867096</v>
      </c>
      <c r="Y142" s="49">
        <v>0</v>
      </c>
      <c r="Z142" s="49">
        <v>1</v>
      </c>
      <c r="AA142" s="72">
        <v>142</v>
      </c>
      <c r="AB142" s="72"/>
      <c r="AC142" s="73"/>
      <c r="AD142" s="80" t="s">
        <v>1047</v>
      </c>
      <c r="AE142" s="80"/>
      <c r="AF142" s="80"/>
      <c r="AG142" s="80"/>
      <c r="AH142" s="80"/>
      <c r="AI142" s="80"/>
      <c r="AJ142" s="84">
        <v>42215.61094907407</v>
      </c>
      <c r="AK142" s="82" t="str">
        <f>HYPERLINK("https://yt3.ggpht.com/a/AATXAJx3Qs2D-Xe7kODhNAYcgH3It5yomy3Uk8p8sCg_tg=s88-c-k-c0xffffffff-no-rj-mo")</f>
        <v>https://yt3.ggpht.com/a/AATXAJx3Qs2D-Xe7kODhNAYcgH3It5yomy3Uk8p8sCg_tg=s88-c-k-c0xffffffff-no-rj-mo</v>
      </c>
      <c r="AL142" s="80">
        <v>0</v>
      </c>
      <c r="AM142" s="80">
        <v>0</v>
      </c>
      <c r="AN142" s="80">
        <v>2</v>
      </c>
      <c r="AO142" s="80" t="b">
        <v>0</v>
      </c>
      <c r="AP142" s="80">
        <v>0</v>
      </c>
      <c r="AQ142" s="80"/>
      <c r="AR142" s="80"/>
      <c r="AS142" s="80" t="s">
        <v>230</v>
      </c>
      <c r="AT142" s="82" t="str">
        <f>HYPERLINK("https://www.youtube.com/channel/UC3e_opeaD07W20AIcYMrdPg")</f>
        <v>https://www.youtube.com/channel/UC3e_opeaD07W20AIcYMrdPg</v>
      </c>
      <c r="AU142" s="79" t="str">
        <f>REPLACE(INDEX(GroupVertices[Group],MATCH(Vertices[[#This Row],[Vertex]],GroupVertices[Vertex],0)),1,1,"")</f>
        <v>3</v>
      </c>
      <c r="AV142" s="48"/>
      <c r="AW142" s="49"/>
      <c r="AX142" s="48"/>
      <c r="AY142" s="49"/>
      <c r="AZ142" s="48"/>
      <c r="BA142" s="49"/>
      <c r="BB142" s="48"/>
      <c r="BC142" s="49"/>
      <c r="BD142" s="48"/>
      <c r="BE142" s="120" t="s">
        <v>408</v>
      </c>
      <c r="BF142" s="120" t="s">
        <v>408</v>
      </c>
      <c r="BG142" s="120" t="s">
        <v>408</v>
      </c>
      <c r="BH142" s="120" t="s">
        <v>408</v>
      </c>
      <c r="BI142" s="2"/>
      <c r="BJ142" s="3"/>
      <c r="BK142" s="3"/>
      <c r="BL142" s="3"/>
      <c r="BM142" s="3"/>
    </row>
    <row r="143" spans="1:65" ht="15">
      <c r="A143" s="65" t="s">
        <v>586</v>
      </c>
      <c r="B143" s="66"/>
      <c r="C143" s="66"/>
      <c r="D143" s="67">
        <v>200</v>
      </c>
      <c r="E143" s="127"/>
      <c r="F143" s="98" t="str">
        <f>HYPERLINK("https://yt3.ggpht.com/a/AATXAJy-luv6jkuVT7krjpFXLMfrYzgNgGXo9YMJcg=s88-c-k-c0xffffffff-no-rj-mo")</f>
        <v>https://yt3.ggpht.com/a/AATXAJy-luv6jkuVT7krjpFXLMfrYzgNgGXo9YMJcg=s88-c-k-c0xffffffff-no-rj-mo</v>
      </c>
      <c r="G143" s="128"/>
      <c r="H143" s="70" t="s">
        <v>1048</v>
      </c>
      <c r="I143" s="71"/>
      <c r="J143" s="129"/>
      <c r="K143" s="70" t="s">
        <v>1048</v>
      </c>
      <c r="L143" s="130">
        <v>1</v>
      </c>
      <c r="M143" s="75">
        <v>4556.66455078125</v>
      </c>
      <c r="N143" s="75">
        <v>6134.71875</v>
      </c>
      <c r="O143" s="76"/>
      <c r="P143" s="77"/>
      <c r="Q143" s="77"/>
      <c r="R143" s="131"/>
      <c r="S143" s="48">
        <v>0</v>
      </c>
      <c r="T143" s="48">
        <v>1</v>
      </c>
      <c r="U143" s="49">
        <v>0</v>
      </c>
      <c r="V143" s="49">
        <v>0.019231</v>
      </c>
      <c r="W143" s="49">
        <v>0</v>
      </c>
      <c r="X143" s="49">
        <v>0.501544</v>
      </c>
      <c r="Y143" s="49">
        <v>0</v>
      </c>
      <c r="Z143" s="49">
        <v>0</v>
      </c>
      <c r="AA143" s="72">
        <v>143</v>
      </c>
      <c r="AB143" s="72"/>
      <c r="AC143" s="73"/>
      <c r="AD143" s="80" t="s">
        <v>1048</v>
      </c>
      <c r="AE143" s="80"/>
      <c r="AF143" s="80"/>
      <c r="AG143" s="80"/>
      <c r="AH143" s="80"/>
      <c r="AI143" s="80"/>
      <c r="AJ143" s="84">
        <v>42055.123923611114</v>
      </c>
      <c r="AK143" s="82" t="str">
        <f>HYPERLINK("https://yt3.ggpht.com/a/AATXAJy-luv6jkuVT7krjpFXLMfrYzgNgGXo9YMJcg=s88-c-k-c0xffffffff-no-rj-mo")</f>
        <v>https://yt3.ggpht.com/a/AATXAJy-luv6jkuVT7krjpFXLMfrYzgNgGXo9YMJcg=s88-c-k-c0xffffffff-no-rj-mo</v>
      </c>
      <c r="AL143" s="80">
        <v>0</v>
      </c>
      <c r="AM143" s="80">
        <v>0</v>
      </c>
      <c r="AN143" s="80">
        <v>0</v>
      </c>
      <c r="AO143" s="80" t="b">
        <v>0</v>
      </c>
      <c r="AP143" s="80">
        <v>0</v>
      </c>
      <c r="AQ143" s="80"/>
      <c r="AR143" s="80"/>
      <c r="AS143" s="80" t="s">
        <v>230</v>
      </c>
      <c r="AT143" s="82" t="str">
        <f>HYPERLINK("https://www.youtube.com/channel/UCaVD0Pzqs2yFHg_6GGfP29w")</f>
        <v>https://www.youtube.com/channel/UCaVD0Pzqs2yFHg_6GGfP29w</v>
      </c>
      <c r="AU143" s="79" t="str">
        <f>REPLACE(INDEX(GroupVertices[Group],MATCH(Vertices[[#This Row],[Vertex]],GroupVertices[Vertex],0)),1,1,"")</f>
        <v>3</v>
      </c>
      <c r="AV143" s="48"/>
      <c r="AW143" s="49"/>
      <c r="AX143" s="48"/>
      <c r="AY143" s="49"/>
      <c r="AZ143" s="48"/>
      <c r="BA143" s="49"/>
      <c r="BB143" s="48"/>
      <c r="BC143" s="49"/>
      <c r="BD143" s="48"/>
      <c r="BE143" s="120" t="s">
        <v>408</v>
      </c>
      <c r="BF143" s="120" t="s">
        <v>408</v>
      </c>
      <c r="BG143" s="120" t="s">
        <v>408</v>
      </c>
      <c r="BH143" s="120" t="s">
        <v>408</v>
      </c>
      <c r="BI143" s="2"/>
      <c r="BJ143" s="3"/>
      <c r="BK143" s="3"/>
      <c r="BL143" s="3"/>
      <c r="BM143" s="3"/>
    </row>
    <row r="144" spans="1:65" ht="15">
      <c r="A144" s="65" t="s">
        <v>587</v>
      </c>
      <c r="B144" s="66"/>
      <c r="C144" s="66"/>
      <c r="D144" s="67">
        <v>466.6666666666667</v>
      </c>
      <c r="E144" s="127"/>
      <c r="F144" s="98" t="str">
        <f>HYPERLINK("https://yt3.ggpht.com/a/AATXAJxoFFpwbof5PZqhex-SGf7ZBlfX_ya2wTI0ZA=s88-c-k-c0xffffffff-no-rj-mo")</f>
        <v>https://yt3.ggpht.com/a/AATXAJxoFFpwbof5PZqhex-SGf7ZBlfX_ya2wTI0ZA=s88-c-k-c0xffffffff-no-rj-mo</v>
      </c>
      <c r="G144" s="128"/>
      <c r="H144" s="70" t="s">
        <v>1049</v>
      </c>
      <c r="I144" s="71"/>
      <c r="J144" s="129"/>
      <c r="K144" s="70" t="s">
        <v>1049</v>
      </c>
      <c r="L144" s="130">
        <v>323.51612903225805</v>
      </c>
      <c r="M144" s="75">
        <v>4592.525390625</v>
      </c>
      <c r="N144" s="75">
        <v>9135.51171875</v>
      </c>
      <c r="O144" s="76"/>
      <c r="P144" s="77"/>
      <c r="Q144" s="77"/>
      <c r="R144" s="131"/>
      <c r="S144" s="48">
        <v>1</v>
      </c>
      <c r="T144" s="48">
        <v>1</v>
      </c>
      <c r="U144" s="49">
        <v>0</v>
      </c>
      <c r="V144" s="49">
        <v>0.020833</v>
      </c>
      <c r="W144" s="49">
        <v>0</v>
      </c>
      <c r="X144" s="49">
        <v>0.527928</v>
      </c>
      <c r="Y144" s="49">
        <v>0</v>
      </c>
      <c r="Z144" s="49">
        <v>1</v>
      </c>
      <c r="AA144" s="72">
        <v>144</v>
      </c>
      <c r="AB144" s="72"/>
      <c r="AC144" s="73"/>
      <c r="AD144" s="80" t="s">
        <v>1049</v>
      </c>
      <c r="AE144" s="80"/>
      <c r="AF144" s="80"/>
      <c r="AG144" s="80"/>
      <c r="AH144" s="80"/>
      <c r="AI144" s="80"/>
      <c r="AJ144" s="84">
        <v>42034.34538194445</v>
      </c>
      <c r="AK144" s="82" t="str">
        <f>HYPERLINK("https://yt3.ggpht.com/a/AATXAJxoFFpwbof5PZqhex-SGf7ZBlfX_ya2wTI0ZA=s88-c-k-c0xffffffff-no-rj-mo")</f>
        <v>https://yt3.ggpht.com/a/AATXAJxoFFpwbof5PZqhex-SGf7ZBlfX_ya2wTI0ZA=s88-c-k-c0xffffffff-no-rj-mo</v>
      </c>
      <c r="AL144" s="80">
        <v>0</v>
      </c>
      <c r="AM144" s="80">
        <v>0</v>
      </c>
      <c r="AN144" s="80">
        <v>0</v>
      </c>
      <c r="AO144" s="80" t="b">
        <v>0</v>
      </c>
      <c r="AP144" s="80">
        <v>0</v>
      </c>
      <c r="AQ144" s="80"/>
      <c r="AR144" s="80"/>
      <c r="AS144" s="80" t="s">
        <v>230</v>
      </c>
      <c r="AT144" s="82" t="str">
        <f>HYPERLINK("https://www.youtube.com/channel/UCWKAm6B2pG6i8WkjI6sYmzg")</f>
        <v>https://www.youtube.com/channel/UCWKAm6B2pG6i8WkjI6sYmzg</v>
      </c>
      <c r="AU144" s="79" t="str">
        <f>REPLACE(INDEX(GroupVertices[Group],MATCH(Vertices[[#This Row],[Vertex]],GroupVertices[Vertex],0)),1,1,"")</f>
        <v>3</v>
      </c>
      <c r="AV144" s="48"/>
      <c r="AW144" s="49"/>
      <c r="AX144" s="48"/>
      <c r="AY144" s="49"/>
      <c r="AZ144" s="48"/>
      <c r="BA144" s="49"/>
      <c r="BB144" s="48"/>
      <c r="BC144" s="49"/>
      <c r="BD144" s="48"/>
      <c r="BE144" s="120" t="s">
        <v>408</v>
      </c>
      <c r="BF144" s="120" t="s">
        <v>408</v>
      </c>
      <c r="BG144" s="120" t="s">
        <v>408</v>
      </c>
      <c r="BH144" s="120" t="s">
        <v>408</v>
      </c>
      <c r="BI144" s="2"/>
      <c r="BJ144" s="3"/>
      <c r="BK144" s="3"/>
      <c r="BL144" s="3"/>
      <c r="BM144" s="3"/>
    </row>
    <row r="145" spans="1:65" ht="15">
      <c r="A145" s="65" t="s">
        <v>588</v>
      </c>
      <c r="B145" s="66"/>
      <c r="C145" s="66"/>
      <c r="D145" s="67">
        <v>466.6666666666667</v>
      </c>
      <c r="E145" s="127"/>
      <c r="F145" s="98" t="str">
        <f>HYPERLINK("https://yt3.ggpht.com/a/AATXAJx3FHylUbizEimDgrYdOzBeVMFLAMh9VB-Az3_WTw=s88-c-k-c0xffffffff-no-rj-mo")</f>
        <v>https://yt3.ggpht.com/a/AATXAJx3FHylUbizEimDgrYdOzBeVMFLAMh9VB-Az3_WTw=s88-c-k-c0xffffffff-no-rj-mo</v>
      </c>
      <c r="G145" s="128"/>
      <c r="H145" s="70" t="s">
        <v>1050</v>
      </c>
      <c r="I145" s="71"/>
      <c r="J145" s="129"/>
      <c r="K145" s="70" t="s">
        <v>1050</v>
      </c>
      <c r="L145" s="130">
        <v>323.51612903225805</v>
      </c>
      <c r="M145" s="75">
        <v>4969.7685546875</v>
      </c>
      <c r="N145" s="75">
        <v>9085.5673828125</v>
      </c>
      <c r="O145" s="76"/>
      <c r="P145" s="77"/>
      <c r="Q145" s="77"/>
      <c r="R145" s="131"/>
      <c r="S145" s="48">
        <v>1</v>
      </c>
      <c r="T145" s="48">
        <v>1</v>
      </c>
      <c r="U145" s="49">
        <v>0</v>
      </c>
      <c r="V145" s="49">
        <v>0.020833</v>
      </c>
      <c r="W145" s="49">
        <v>0</v>
      </c>
      <c r="X145" s="49">
        <v>0.527928</v>
      </c>
      <c r="Y145" s="49">
        <v>0</v>
      </c>
      <c r="Z145" s="49">
        <v>1</v>
      </c>
      <c r="AA145" s="72">
        <v>145</v>
      </c>
      <c r="AB145" s="72"/>
      <c r="AC145" s="73"/>
      <c r="AD145" s="80" t="s">
        <v>1050</v>
      </c>
      <c r="AE145" s="80"/>
      <c r="AF145" s="80"/>
      <c r="AG145" s="80"/>
      <c r="AH145" s="80"/>
      <c r="AI145" s="80"/>
      <c r="AJ145" s="84">
        <v>40456.37535879629</v>
      </c>
      <c r="AK145" s="82" t="str">
        <f>HYPERLINK("https://yt3.ggpht.com/a/AATXAJx3FHylUbizEimDgrYdOzBeVMFLAMh9VB-Az3_WTw=s88-c-k-c0xffffffff-no-rj-mo")</f>
        <v>https://yt3.ggpht.com/a/AATXAJx3FHylUbizEimDgrYdOzBeVMFLAMh9VB-Az3_WTw=s88-c-k-c0xffffffff-no-rj-mo</v>
      </c>
      <c r="AL145" s="80">
        <v>248</v>
      </c>
      <c r="AM145" s="80">
        <v>0</v>
      </c>
      <c r="AN145" s="80">
        <v>22</v>
      </c>
      <c r="AO145" s="80" t="b">
        <v>0</v>
      </c>
      <c r="AP145" s="80">
        <v>4</v>
      </c>
      <c r="AQ145" s="80"/>
      <c r="AR145" s="80"/>
      <c r="AS145" s="80" t="s">
        <v>230</v>
      </c>
      <c r="AT145" s="82" t="str">
        <f>HYPERLINK("https://www.youtube.com/channel/UCo2q0TUJMy4m0muhRo0LesQ")</f>
        <v>https://www.youtube.com/channel/UCo2q0TUJMy4m0muhRo0LesQ</v>
      </c>
      <c r="AU145" s="79" t="str">
        <f>REPLACE(INDEX(GroupVertices[Group],MATCH(Vertices[[#This Row],[Vertex]],GroupVertices[Vertex],0)),1,1,"")</f>
        <v>3</v>
      </c>
      <c r="AV145" s="48"/>
      <c r="AW145" s="49"/>
      <c r="AX145" s="48"/>
      <c r="AY145" s="49"/>
      <c r="AZ145" s="48"/>
      <c r="BA145" s="49"/>
      <c r="BB145" s="48"/>
      <c r="BC145" s="49"/>
      <c r="BD145" s="48"/>
      <c r="BE145" s="120" t="s">
        <v>408</v>
      </c>
      <c r="BF145" s="120" t="s">
        <v>408</v>
      </c>
      <c r="BG145" s="120" t="s">
        <v>408</v>
      </c>
      <c r="BH145" s="120" t="s">
        <v>408</v>
      </c>
      <c r="BI145" s="2"/>
      <c r="BJ145" s="3"/>
      <c r="BK145" s="3"/>
      <c r="BL145" s="3"/>
      <c r="BM145" s="3"/>
    </row>
    <row r="146" spans="1:65" ht="15">
      <c r="A146" s="65" t="s">
        <v>589</v>
      </c>
      <c r="B146" s="66"/>
      <c r="C146" s="66"/>
      <c r="D146" s="67">
        <v>466.6666666666667</v>
      </c>
      <c r="E146" s="127"/>
      <c r="F146" s="98" t="str">
        <f>HYPERLINK("https://yt3.ggpht.com/a/AATXAJwYrrOzTZBtZ7S0pBGl3GaM3LELLff8GeLquw=s88-c-k-c0xffffffff-no-rj-mo")</f>
        <v>https://yt3.ggpht.com/a/AATXAJwYrrOzTZBtZ7S0pBGl3GaM3LELLff8GeLquw=s88-c-k-c0xffffffff-no-rj-mo</v>
      </c>
      <c r="G146" s="128"/>
      <c r="H146" s="70" t="s">
        <v>1051</v>
      </c>
      <c r="I146" s="71"/>
      <c r="J146" s="129"/>
      <c r="K146" s="70" t="s">
        <v>1051</v>
      </c>
      <c r="L146" s="130">
        <v>323.51612903225805</v>
      </c>
      <c r="M146" s="75">
        <v>3930.555419921875</v>
      </c>
      <c r="N146" s="75">
        <v>8593.9912109375</v>
      </c>
      <c r="O146" s="76"/>
      <c r="P146" s="77"/>
      <c r="Q146" s="77"/>
      <c r="R146" s="131"/>
      <c r="S146" s="48">
        <v>1</v>
      </c>
      <c r="T146" s="48">
        <v>1</v>
      </c>
      <c r="U146" s="49">
        <v>0</v>
      </c>
      <c r="V146" s="49">
        <v>0.020833</v>
      </c>
      <c r="W146" s="49">
        <v>0</v>
      </c>
      <c r="X146" s="49">
        <v>0.527928</v>
      </c>
      <c r="Y146" s="49">
        <v>0</v>
      </c>
      <c r="Z146" s="49">
        <v>1</v>
      </c>
      <c r="AA146" s="72">
        <v>146</v>
      </c>
      <c r="AB146" s="72"/>
      <c r="AC146" s="73"/>
      <c r="AD146" s="80" t="s">
        <v>1051</v>
      </c>
      <c r="AE146" s="80"/>
      <c r="AF146" s="80"/>
      <c r="AG146" s="80"/>
      <c r="AH146" s="80"/>
      <c r="AI146" s="80"/>
      <c r="AJ146" s="84">
        <v>42231.37184027778</v>
      </c>
      <c r="AK146" s="82" t="str">
        <f>HYPERLINK("https://yt3.ggpht.com/a/AATXAJwYrrOzTZBtZ7S0pBGl3GaM3LELLff8GeLquw=s88-c-k-c0xffffffff-no-rj-mo")</f>
        <v>https://yt3.ggpht.com/a/AATXAJwYrrOzTZBtZ7S0pBGl3GaM3LELLff8GeLquw=s88-c-k-c0xffffffff-no-rj-mo</v>
      </c>
      <c r="AL146" s="80">
        <v>0</v>
      </c>
      <c r="AM146" s="80">
        <v>0</v>
      </c>
      <c r="AN146" s="80">
        <v>0</v>
      </c>
      <c r="AO146" s="80" t="b">
        <v>0</v>
      </c>
      <c r="AP146" s="80">
        <v>0</v>
      </c>
      <c r="AQ146" s="80"/>
      <c r="AR146" s="80"/>
      <c r="AS146" s="80" t="s">
        <v>230</v>
      </c>
      <c r="AT146" s="82" t="str">
        <f>HYPERLINK("https://www.youtube.com/channel/UCXjKRWc69RlJCxL6YGPdH8g")</f>
        <v>https://www.youtube.com/channel/UCXjKRWc69RlJCxL6YGPdH8g</v>
      </c>
      <c r="AU146" s="79" t="str">
        <f>REPLACE(INDEX(GroupVertices[Group],MATCH(Vertices[[#This Row],[Vertex]],GroupVertices[Vertex],0)),1,1,"")</f>
        <v>3</v>
      </c>
      <c r="AV146" s="48"/>
      <c r="AW146" s="49"/>
      <c r="AX146" s="48"/>
      <c r="AY146" s="49"/>
      <c r="AZ146" s="48"/>
      <c r="BA146" s="49"/>
      <c r="BB146" s="48"/>
      <c r="BC146" s="49"/>
      <c r="BD146" s="48"/>
      <c r="BE146" s="120" t="s">
        <v>408</v>
      </c>
      <c r="BF146" s="120" t="s">
        <v>408</v>
      </c>
      <c r="BG146" s="120" t="s">
        <v>408</v>
      </c>
      <c r="BH146" s="120" t="s">
        <v>408</v>
      </c>
      <c r="BI146" s="2"/>
      <c r="BJ146" s="3"/>
      <c r="BK146" s="3"/>
      <c r="BL146" s="3"/>
      <c r="BM146" s="3"/>
    </row>
    <row r="147" spans="1:65" ht="15">
      <c r="A147" s="65" t="s">
        <v>590</v>
      </c>
      <c r="B147" s="66"/>
      <c r="C147" s="66"/>
      <c r="D147" s="67">
        <v>466.6666666666667</v>
      </c>
      <c r="E147" s="127"/>
      <c r="F147" s="98" t="str">
        <f>HYPERLINK("https://yt3.ggpht.com/a/AATXAJwsvQi8ZdnH35irmdZnH6OdcEHrmsUuE_1yIw=s88-c-k-c0xffffffff-no-rj-mo")</f>
        <v>https://yt3.ggpht.com/a/AATXAJwsvQi8ZdnH35irmdZnH6OdcEHrmsUuE_1yIw=s88-c-k-c0xffffffff-no-rj-mo</v>
      </c>
      <c r="G147" s="128"/>
      <c r="H147" s="70" t="s">
        <v>1052</v>
      </c>
      <c r="I147" s="71"/>
      <c r="J147" s="129"/>
      <c r="K147" s="70" t="s">
        <v>1052</v>
      </c>
      <c r="L147" s="130">
        <v>323.51612903225805</v>
      </c>
      <c r="M147" s="75">
        <v>4481.0322265625</v>
      </c>
      <c r="N147" s="75">
        <v>9672.5869140625</v>
      </c>
      <c r="O147" s="76"/>
      <c r="P147" s="77"/>
      <c r="Q147" s="77"/>
      <c r="R147" s="131"/>
      <c r="S147" s="48">
        <v>1</v>
      </c>
      <c r="T147" s="48">
        <v>1</v>
      </c>
      <c r="U147" s="49">
        <v>0</v>
      </c>
      <c r="V147" s="49">
        <v>0.020833</v>
      </c>
      <c r="W147" s="49">
        <v>0</v>
      </c>
      <c r="X147" s="49">
        <v>0.527928</v>
      </c>
      <c r="Y147" s="49">
        <v>0</v>
      </c>
      <c r="Z147" s="49">
        <v>1</v>
      </c>
      <c r="AA147" s="72">
        <v>147</v>
      </c>
      <c r="AB147" s="72"/>
      <c r="AC147" s="73"/>
      <c r="AD147" s="80" t="s">
        <v>1052</v>
      </c>
      <c r="AE147" s="80"/>
      <c r="AF147" s="80"/>
      <c r="AG147" s="80"/>
      <c r="AH147" s="80"/>
      <c r="AI147" s="80"/>
      <c r="AJ147" s="84">
        <v>43968.935266203705</v>
      </c>
      <c r="AK147" s="82" t="str">
        <f>HYPERLINK("https://yt3.ggpht.com/a/AATXAJwsvQi8ZdnH35irmdZnH6OdcEHrmsUuE_1yIw=s88-c-k-c0xffffffff-no-rj-mo")</f>
        <v>https://yt3.ggpht.com/a/AATXAJwsvQi8ZdnH35irmdZnH6OdcEHrmsUuE_1yIw=s88-c-k-c0xffffffff-no-rj-mo</v>
      </c>
      <c r="AL147" s="80">
        <v>0</v>
      </c>
      <c r="AM147" s="80">
        <v>0</v>
      </c>
      <c r="AN147" s="80">
        <v>0</v>
      </c>
      <c r="AO147" s="80" t="b">
        <v>0</v>
      </c>
      <c r="AP147" s="80">
        <v>0</v>
      </c>
      <c r="AQ147" s="80"/>
      <c r="AR147" s="80"/>
      <c r="AS147" s="80" t="s">
        <v>230</v>
      </c>
      <c r="AT147" s="82" t="str">
        <f>HYPERLINK("https://www.youtube.com/channel/UCqdha8jegBrqZ6Z2JlSJFkQ")</f>
        <v>https://www.youtube.com/channel/UCqdha8jegBrqZ6Z2JlSJFkQ</v>
      </c>
      <c r="AU147" s="79" t="str">
        <f>REPLACE(INDEX(GroupVertices[Group],MATCH(Vertices[[#This Row],[Vertex]],GroupVertices[Vertex],0)),1,1,"")</f>
        <v>3</v>
      </c>
      <c r="AV147" s="48"/>
      <c r="AW147" s="49"/>
      <c r="AX147" s="48"/>
      <c r="AY147" s="49"/>
      <c r="AZ147" s="48"/>
      <c r="BA147" s="49"/>
      <c r="BB147" s="48"/>
      <c r="BC147" s="49"/>
      <c r="BD147" s="48"/>
      <c r="BE147" s="120" t="s">
        <v>408</v>
      </c>
      <c r="BF147" s="120" t="s">
        <v>408</v>
      </c>
      <c r="BG147" s="120" t="s">
        <v>408</v>
      </c>
      <c r="BH147" s="120" t="s">
        <v>408</v>
      </c>
      <c r="BI147" s="2"/>
      <c r="BJ147" s="3"/>
      <c r="BK147" s="3"/>
      <c r="BL147" s="3"/>
      <c r="BM147" s="3"/>
    </row>
    <row r="148" spans="1:65" ht="15">
      <c r="A148" s="65" t="s">
        <v>591</v>
      </c>
      <c r="B148" s="66"/>
      <c r="C148" s="66"/>
      <c r="D148" s="67">
        <v>466.6666666666667</v>
      </c>
      <c r="E148" s="127"/>
      <c r="F148" s="98" t="str">
        <f>HYPERLINK("https://yt3.ggpht.com/a/AATXAJyMFFIYju27xuVkOBICqCIkncfK1ueAXrVIJA=s88-c-k-c0xffffffff-no-rj-mo")</f>
        <v>https://yt3.ggpht.com/a/AATXAJyMFFIYju27xuVkOBICqCIkncfK1ueAXrVIJA=s88-c-k-c0xffffffff-no-rj-mo</v>
      </c>
      <c r="G148" s="128"/>
      <c r="H148" s="70" t="s">
        <v>1053</v>
      </c>
      <c r="I148" s="71"/>
      <c r="J148" s="129"/>
      <c r="K148" s="70" t="s">
        <v>1053</v>
      </c>
      <c r="L148" s="130">
        <v>323.51612903225805</v>
      </c>
      <c r="M148" s="75">
        <v>5018.20751953125</v>
      </c>
      <c r="N148" s="75">
        <v>8480.85546875</v>
      </c>
      <c r="O148" s="76"/>
      <c r="P148" s="77"/>
      <c r="Q148" s="77"/>
      <c r="R148" s="131"/>
      <c r="S148" s="48">
        <v>1</v>
      </c>
      <c r="T148" s="48">
        <v>1</v>
      </c>
      <c r="U148" s="49">
        <v>0</v>
      </c>
      <c r="V148" s="49">
        <v>0.020833</v>
      </c>
      <c r="W148" s="49">
        <v>0</v>
      </c>
      <c r="X148" s="49">
        <v>0.527928</v>
      </c>
      <c r="Y148" s="49">
        <v>0</v>
      </c>
      <c r="Z148" s="49">
        <v>1</v>
      </c>
      <c r="AA148" s="72">
        <v>148</v>
      </c>
      <c r="AB148" s="72"/>
      <c r="AC148" s="73"/>
      <c r="AD148" s="80" t="s">
        <v>1053</v>
      </c>
      <c r="AE148" s="80"/>
      <c r="AF148" s="80"/>
      <c r="AG148" s="80"/>
      <c r="AH148" s="80"/>
      <c r="AI148" s="80"/>
      <c r="AJ148" s="84">
        <v>43317.739756944444</v>
      </c>
      <c r="AK148" s="82" t="str">
        <f>HYPERLINK("https://yt3.ggpht.com/a/AATXAJyMFFIYju27xuVkOBICqCIkncfK1ueAXrVIJA=s88-c-k-c0xffffffff-no-rj-mo")</f>
        <v>https://yt3.ggpht.com/a/AATXAJyMFFIYju27xuVkOBICqCIkncfK1ueAXrVIJA=s88-c-k-c0xffffffff-no-rj-mo</v>
      </c>
      <c r="AL148" s="80">
        <v>0</v>
      </c>
      <c r="AM148" s="80">
        <v>0</v>
      </c>
      <c r="AN148" s="80">
        <v>0</v>
      </c>
      <c r="AO148" s="80" t="b">
        <v>0</v>
      </c>
      <c r="AP148" s="80">
        <v>0</v>
      </c>
      <c r="AQ148" s="80"/>
      <c r="AR148" s="80"/>
      <c r="AS148" s="80" t="s">
        <v>230</v>
      </c>
      <c r="AT148" s="82" t="str">
        <f>HYPERLINK("https://www.youtube.com/channel/UC-uHDm8uihmHB6tbP3eSvlw")</f>
        <v>https://www.youtube.com/channel/UC-uHDm8uihmHB6tbP3eSvlw</v>
      </c>
      <c r="AU148" s="79" t="str">
        <f>REPLACE(INDEX(GroupVertices[Group],MATCH(Vertices[[#This Row],[Vertex]],GroupVertices[Vertex],0)),1,1,"")</f>
        <v>3</v>
      </c>
      <c r="AV148" s="48"/>
      <c r="AW148" s="49"/>
      <c r="AX148" s="48"/>
      <c r="AY148" s="49"/>
      <c r="AZ148" s="48"/>
      <c r="BA148" s="49"/>
      <c r="BB148" s="48"/>
      <c r="BC148" s="49"/>
      <c r="BD148" s="48"/>
      <c r="BE148" s="120" t="s">
        <v>408</v>
      </c>
      <c r="BF148" s="120" t="s">
        <v>408</v>
      </c>
      <c r="BG148" s="120" t="s">
        <v>408</v>
      </c>
      <c r="BH148" s="120" t="s">
        <v>408</v>
      </c>
      <c r="BI148" s="2"/>
      <c r="BJ148" s="3"/>
      <c r="BK148" s="3"/>
      <c r="BL148" s="3"/>
      <c r="BM148" s="3"/>
    </row>
    <row r="149" spans="1:65" ht="15">
      <c r="A149" s="65" t="s">
        <v>592</v>
      </c>
      <c r="B149" s="66"/>
      <c r="C149" s="66"/>
      <c r="D149" s="67">
        <v>466.6666666666667</v>
      </c>
      <c r="E149" s="127"/>
      <c r="F149" s="98" t="str">
        <f>HYPERLINK("https://yt3.ggpht.com/a/AATXAJxJr4VDu-Aefmb11RPF3DgyhOSH4TSXsw8XDw=s88-c-k-c0xffffffff-no-rj-mo")</f>
        <v>https://yt3.ggpht.com/a/AATXAJxJr4VDu-Aefmb11RPF3DgyhOSH4TSXsw8XDw=s88-c-k-c0xffffffff-no-rj-mo</v>
      </c>
      <c r="G149" s="128"/>
      <c r="H149" s="70" t="s">
        <v>1054</v>
      </c>
      <c r="I149" s="71"/>
      <c r="J149" s="129"/>
      <c r="K149" s="70" t="s">
        <v>1054</v>
      </c>
      <c r="L149" s="130">
        <v>323.51612903225805</v>
      </c>
      <c r="M149" s="75">
        <v>4019.268798828125</v>
      </c>
      <c r="N149" s="75">
        <v>9238.76171875</v>
      </c>
      <c r="O149" s="76"/>
      <c r="P149" s="77"/>
      <c r="Q149" s="77"/>
      <c r="R149" s="131"/>
      <c r="S149" s="48">
        <v>1</v>
      </c>
      <c r="T149" s="48">
        <v>1</v>
      </c>
      <c r="U149" s="49">
        <v>0</v>
      </c>
      <c r="V149" s="49">
        <v>0.020833</v>
      </c>
      <c r="W149" s="49">
        <v>0</v>
      </c>
      <c r="X149" s="49">
        <v>0.527928</v>
      </c>
      <c r="Y149" s="49">
        <v>0</v>
      </c>
      <c r="Z149" s="49">
        <v>1</v>
      </c>
      <c r="AA149" s="72">
        <v>149</v>
      </c>
      <c r="AB149" s="72"/>
      <c r="AC149" s="73"/>
      <c r="AD149" s="80" t="s">
        <v>1054</v>
      </c>
      <c r="AE149" s="80"/>
      <c r="AF149" s="80"/>
      <c r="AG149" s="80"/>
      <c r="AH149" s="80"/>
      <c r="AI149" s="80"/>
      <c r="AJ149" s="84">
        <v>41197.60503472222</v>
      </c>
      <c r="AK149" s="82" t="str">
        <f>HYPERLINK("https://yt3.ggpht.com/a/AATXAJxJr4VDu-Aefmb11RPF3DgyhOSH4TSXsw8XDw=s88-c-k-c0xffffffff-no-rj-mo")</f>
        <v>https://yt3.ggpht.com/a/AATXAJxJr4VDu-Aefmb11RPF3DgyhOSH4TSXsw8XDw=s88-c-k-c0xffffffff-no-rj-mo</v>
      </c>
      <c r="AL149" s="80">
        <v>0</v>
      </c>
      <c r="AM149" s="80">
        <v>0</v>
      </c>
      <c r="AN149" s="80">
        <v>1</v>
      </c>
      <c r="AO149" s="80" t="b">
        <v>0</v>
      </c>
      <c r="AP149" s="80">
        <v>0</v>
      </c>
      <c r="AQ149" s="80"/>
      <c r="AR149" s="80"/>
      <c r="AS149" s="80" t="s">
        <v>230</v>
      </c>
      <c r="AT149" s="82" t="str">
        <f>HYPERLINK("https://www.youtube.com/channel/UCBmtHMjCvI_0soJvCAee7nA")</f>
        <v>https://www.youtube.com/channel/UCBmtHMjCvI_0soJvCAee7nA</v>
      </c>
      <c r="AU149" s="79" t="str">
        <f>REPLACE(INDEX(GroupVertices[Group],MATCH(Vertices[[#This Row],[Vertex]],GroupVertices[Vertex],0)),1,1,"")</f>
        <v>3</v>
      </c>
      <c r="AV149" s="48"/>
      <c r="AW149" s="49"/>
      <c r="AX149" s="48"/>
      <c r="AY149" s="49"/>
      <c r="AZ149" s="48"/>
      <c r="BA149" s="49"/>
      <c r="BB149" s="48"/>
      <c r="BC149" s="49"/>
      <c r="BD149" s="48"/>
      <c r="BE149" s="120" t="s">
        <v>408</v>
      </c>
      <c r="BF149" s="120" t="s">
        <v>408</v>
      </c>
      <c r="BG149" s="120" t="s">
        <v>408</v>
      </c>
      <c r="BH149" s="120" t="s">
        <v>408</v>
      </c>
      <c r="BI149" s="2"/>
      <c r="BJ149" s="3"/>
      <c r="BK149" s="3"/>
      <c r="BL149" s="3"/>
      <c r="BM149" s="3"/>
    </row>
    <row r="150" spans="1:65" ht="15">
      <c r="A150" s="65" t="s">
        <v>593</v>
      </c>
      <c r="B150" s="66"/>
      <c r="C150" s="66"/>
      <c r="D150" s="67">
        <v>466.6666666666667</v>
      </c>
      <c r="E150" s="127"/>
      <c r="F150" s="98" t="str">
        <f>HYPERLINK("https://yt3.ggpht.com/a/AATXAJwkvtgMXjioY6WmUk0vYwIoIi_RG7qYfa0z6g=s88-c-k-c0xffffffff-no-rj-mo")</f>
        <v>https://yt3.ggpht.com/a/AATXAJwkvtgMXjioY6WmUk0vYwIoIi_RG7qYfa0z6g=s88-c-k-c0xffffffff-no-rj-mo</v>
      </c>
      <c r="G150" s="128"/>
      <c r="H150" s="70" t="s">
        <v>1055</v>
      </c>
      <c r="I150" s="71"/>
      <c r="J150" s="129"/>
      <c r="K150" s="70" t="s">
        <v>1055</v>
      </c>
      <c r="L150" s="130">
        <v>323.51612903225805</v>
      </c>
      <c r="M150" s="75">
        <v>4194.556640625</v>
      </c>
      <c r="N150" s="75">
        <v>8601.4609375</v>
      </c>
      <c r="O150" s="76"/>
      <c r="P150" s="77"/>
      <c r="Q150" s="77"/>
      <c r="R150" s="131"/>
      <c r="S150" s="48">
        <v>1</v>
      </c>
      <c r="T150" s="48">
        <v>1</v>
      </c>
      <c r="U150" s="49">
        <v>0</v>
      </c>
      <c r="V150" s="49">
        <v>0.020833</v>
      </c>
      <c r="W150" s="49">
        <v>0</v>
      </c>
      <c r="X150" s="49">
        <v>0.527928</v>
      </c>
      <c r="Y150" s="49">
        <v>0</v>
      </c>
      <c r="Z150" s="49">
        <v>1</v>
      </c>
      <c r="AA150" s="72">
        <v>150</v>
      </c>
      <c r="AB150" s="72"/>
      <c r="AC150" s="73"/>
      <c r="AD150" s="80" t="s">
        <v>1055</v>
      </c>
      <c r="AE150" s="80"/>
      <c r="AF150" s="80"/>
      <c r="AG150" s="80"/>
      <c r="AH150" s="80"/>
      <c r="AI150" s="80"/>
      <c r="AJ150" s="84">
        <v>41687.75206018519</v>
      </c>
      <c r="AK150" s="82" t="str">
        <f>HYPERLINK("https://yt3.ggpht.com/a/AATXAJwkvtgMXjioY6WmUk0vYwIoIi_RG7qYfa0z6g=s88-c-k-c0xffffffff-no-rj-mo")</f>
        <v>https://yt3.ggpht.com/a/AATXAJwkvtgMXjioY6WmUk0vYwIoIi_RG7qYfa0z6g=s88-c-k-c0xffffffff-no-rj-mo</v>
      </c>
      <c r="AL150" s="80">
        <v>0</v>
      </c>
      <c r="AM150" s="80">
        <v>0</v>
      </c>
      <c r="AN150" s="80">
        <v>0</v>
      </c>
      <c r="AO150" s="80" t="b">
        <v>0</v>
      </c>
      <c r="AP150" s="80">
        <v>0</v>
      </c>
      <c r="AQ150" s="80"/>
      <c r="AR150" s="80"/>
      <c r="AS150" s="80" t="s">
        <v>230</v>
      </c>
      <c r="AT150" s="82" t="str">
        <f>HYPERLINK("https://www.youtube.com/channel/UCHk7yTkeOaJiuYwAYHciXdA")</f>
        <v>https://www.youtube.com/channel/UCHk7yTkeOaJiuYwAYHciXdA</v>
      </c>
      <c r="AU150" s="79" t="str">
        <f>REPLACE(INDEX(GroupVertices[Group],MATCH(Vertices[[#This Row],[Vertex]],GroupVertices[Vertex],0)),1,1,"")</f>
        <v>3</v>
      </c>
      <c r="AV150" s="48"/>
      <c r="AW150" s="49"/>
      <c r="AX150" s="48"/>
      <c r="AY150" s="49"/>
      <c r="AZ150" s="48"/>
      <c r="BA150" s="49"/>
      <c r="BB150" s="48"/>
      <c r="BC150" s="49"/>
      <c r="BD150" s="48"/>
      <c r="BE150" s="120" t="s">
        <v>408</v>
      </c>
      <c r="BF150" s="120" t="s">
        <v>408</v>
      </c>
      <c r="BG150" s="120" t="s">
        <v>408</v>
      </c>
      <c r="BH150" s="120" t="s">
        <v>408</v>
      </c>
      <c r="BI150" s="2"/>
      <c r="BJ150" s="3"/>
      <c r="BK150" s="3"/>
      <c r="BL150" s="3"/>
      <c r="BM150" s="3"/>
    </row>
    <row r="151" spans="1:65" ht="15">
      <c r="A151" s="65" t="s">
        <v>594</v>
      </c>
      <c r="B151" s="66"/>
      <c r="C151" s="66"/>
      <c r="D151" s="67">
        <v>733.3333333333334</v>
      </c>
      <c r="E151" s="127"/>
      <c r="F151" s="98" t="str">
        <f>HYPERLINK("https://yt3.ggpht.com/a/AATXAJynzVN1Jggw0j-qjRinB8lLfThEazg55knBKg=s88-c-k-c0xffffffff-no-rj-mo")</f>
        <v>https://yt3.ggpht.com/a/AATXAJynzVN1Jggw0j-qjRinB8lLfThEazg55knBKg=s88-c-k-c0xffffffff-no-rj-mo</v>
      </c>
      <c r="G151" s="128"/>
      <c r="H151" s="70" t="s">
        <v>1056</v>
      </c>
      <c r="I151" s="71"/>
      <c r="J151" s="129"/>
      <c r="K151" s="70" t="s">
        <v>1056</v>
      </c>
      <c r="L151" s="130">
        <v>646.0322580645161</v>
      </c>
      <c r="M151" s="75">
        <v>9524.2626953125</v>
      </c>
      <c r="N151" s="75">
        <v>6052.30419921875</v>
      </c>
      <c r="O151" s="76"/>
      <c r="P151" s="77"/>
      <c r="Q151" s="77"/>
      <c r="R151" s="131"/>
      <c r="S151" s="48">
        <v>2</v>
      </c>
      <c r="T151" s="48">
        <v>2</v>
      </c>
      <c r="U151" s="49">
        <v>8</v>
      </c>
      <c r="V151" s="49">
        <v>0.1</v>
      </c>
      <c r="W151" s="49">
        <v>0</v>
      </c>
      <c r="X151" s="49">
        <v>1.19738</v>
      </c>
      <c r="Y151" s="49">
        <v>0</v>
      </c>
      <c r="Z151" s="49">
        <v>1</v>
      </c>
      <c r="AA151" s="72">
        <v>151</v>
      </c>
      <c r="AB151" s="72"/>
      <c r="AC151" s="73"/>
      <c r="AD151" s="80" t="s">
        <v>1056</v>
      </c>
      <c r="AE151" s="80" t="s">
        <v>1366</v>
      </c>
      <c r="AF151" s="80"/>
      <c r="AG151" s="80"/>
      <c r="AH151" s="80"/>
      <c r="AI151" s="80" t="s">
        <v>1425</v>
      </c>
      <c r="AJ151" s="84">
        <v>43669.05798611111</v>
      </c>
      <c r="AK151" s="82" t="str">
        <f>HYPERLINK("https://yt3.ggpht.com/a/AATXAJynzVN1Jggw0j-qjRinB8lLfThEazg55knBKg=s88-c-k-c0xffffffff-no-rj-mo")</f>
        <v>https://yt3.ggpht.com/a/AATXAJynzVN1Jggw0j-qjRinB8lLfThEazg55knBKg=s88-c-k-c0xffffffff-no-rj-mo</v>
      </c>
      <c r="AL151" s="80">
        <v>50874</v>
      </c>
      <c r="AM151" s="80">
        <v>0</v>
      </c>
      <c r="AN151" s="80">
        <v>1800</v>
      </c>
      <c r="AO151" s="80" t="b">
        <v>0</v>
      </c>
      <c r="AP151" s="80">
        <v>58</v>
      </c>
      <c r="AQ151" s="80"/>
      <c r="AR151" s="80"/>
      <c r="AS151" s="80" t="s">
        <v>230</v>
      </c>
      <c r="AT151" s="82" t="str">
        <f>HYPERLINK("https://www.youtube.com/channel/UCR5WT6Lkv9pdX_xsvQ6YyDg")</f>
        <v>https://www.youtube.com/channel/UCR5WT6Lkv9pdX_xsvQ6YyDg</v>
      </c>
      <c r="AU151" s="79" t="str">
        <f>REPLACE(INDEX(GroupVertices[Group],MATCH(Vertices[[#This Row],[Vertex]],GroupVertices[Vertex],0)),1,1,"")</f>
        <v>8</v>
      </c>
      <c r="AV151" s="48">
        <v>11</v>
      </c>
      <c r="AW151" s="49">
        <v>7.746478873239437</v>
      </c>
      <c r="AX151" s="48">
        <v>0</v>
      </c>
      <c r="AY151" s="49">
        <v>0</v>
      </c>
      <c r="AZ151" s="48">
        <v>0</v>
      </c>
      <c r="BA151" s="49">
        <v>0</v>
      </c>
      <c r="BB151" s="48">
        <v>131</v>
      </c>
      <c r="BC151" s="49">
        <v>92.25352112676056</v>
      </c>
      <c r="BD151" s="48">
        <v>142</v>
      </c>
      <c r="BE151" s="120" t="s">
        <v>408</v>
      </c>
      <c r="BF151" s="120" t="s">
        <v>408</v>
      </c>
      <c r="BG151" s="120" t="s">
        <v>408</v>
      </c>
      <c r="BH151" s="120" t="s">
        <v>408</v>
      </c>
      <c r="BI151" s="2"/>
      <c r="BJ151" s="3"/>
      <c r="BK151" s="3"/>
      <c r="BL151" s="3"/>
      <c r="BM151" s="3"/>
    </row>
    <row r="152" spans="1:65" ht="15">
      <c r="A152" s="65" t="s">
        <v>595</v>
      </c>
      <c r="B152" s="66"/>
      <c r="C152" s="66"/>
      <c r="D152" s="67">
        <v>733.3333333333334</v>
      </c>
      <c r="E152" s="127"/>
      <c r="F152" s="98" t="str">
        <f>HYPERLINK("https://yt3.ggpht.com/a/AATXAJz_5QAKHXIbcpbj7I4lQpYxgc5_rYj8aDpulQ=s88-c-k-c0xffffffff-no-rj-mo")</f>
        <v>https://yt3.ggpht.com/a/AATXAJz_5QAKHXIbcpbj7I4lQpYxgc5_rYj8aDpulQ=s88-c-k-c0xffffffff-no-rj-mo</v>
      </c>
      <c r="G152" s="128"/>
      <c r="H152" s="70" t="s">
        <v>1057</v>
      </c>
      <c r="I152" s="71"/>
      <c r="J152" s="129"/>
      <c r="K152" s="70" t="s">
        <v>1057</v>
      </c>
      <c r="L152" s="130">
        <v>646.0322580645161</v>
      </c>
      <c r="M152" s="75">
        <v>9178.1416015625</v>
      </c>
      <c r="N152" s="75">
        <v>6225.05810546875</v>
      </c>
      <c r="O152" s="76"/>
      <c r="P152" s="77"/>
      <c r="Q152" s="77"/>
      <c r="R152" s="131"/>
      <c r="S152" s="48">
        <v>2</v>
      </c>
      <c r="T152" s="48">
        <v>2</v>
      </c>
      <c r="U152" s="49">
        <v>12</v>
      </c>
      <c r="V152" s="49">
        <v>0.125</v>
      </c>
      <c r="W152" s="49">
        <v>0</v>
      </c>
      <c r="X152" s="49">
        <v>1.146653</v>
      </c>
      <c r="Y152" s="49">
        <v>0</v>
      </c>
      <c r="Z152" s="49">
        <v>1</v>
      </c>
      <c r="AA152" s="72">
        <v>152</v>
      </c>
      <c r="AB152" s="72"/>
      <c r="AC152" s="73"/>
      <c r="AD152" s="80" t="s">
        <v>1057</v>
      </c>
      <c r="AE152" s="80"/>
      <c r="AF152" s="80"/>
      <c r="AG152" s="80"/>
      <c r="AH152" s="80"/>
      <c r="AI152" s="80"/>
      <c r="AJ152" s="84">
        <v>42280.69484953704</v>
      </c>
      <c r="AK152" s="82" t="str">
        <f>HYPERLINK("https://yt3.ggpht.com/a/AATXAJz_5QAKHXIbcpbj7I4lQpYxgc5_rYj8aDpulQ=s88-c-k-c0xffffffff-no-rj-mo")</f>
        <v>https://yt3.ggpht.com/a/AATXAJz_5QAKHXIbcpbj7I4lQpYxgc5_rYj8aDpulQ=s88-c-k-c0xffffffff-no-rj-mo</v>
      </c>
      <c r="AL152" s="80">
        <v>0</v>
      </c>
      <c r="AM152" s="80">
        <v>0</v>
      </c>
      <c r="AN152" s="80">
        <v>0</v>
      </c>
      <c r="AO152" s="80" t="b">
        <v>0</v>
      </c>
      <c r="AP152" s="80">
        <v>0</v>
      </c>
      <c r="AQ152" s="80"/>
      <c r="AR152" s="80"/>
      <c r="AS152" s="80" t="s">
        <v>230</v>
      </c>
      <c r="AT152" s="82" t="str">
        <f>HYPERLINK("https://www.youtube.com/channel/UCJNf_zUjSFMnCJSjjr2I2cw")</f>
        <v>https://www.youtube.com/channel/UCJNf_zUjSFMnCJSjjr2I2cw</v>
      </c>
      <c r="AU152" s="79" t="str">
        <f>REPLACE(INDEX(GroupVertices[Group],MATCH(Vertices[[#This Row],[Vertex]],GroupVertices[Vertex],0)),1,1,"")</f>
        <v>8</v>
      </c>
      <c r="AV152" s="48"/>
      <c r="AW152" s="49"/>
      <c r="AX152" s="48"/>
      <c r="AY152" s="49"/>
      <c r="AZ152" s="48"/>
      <c r="BA152" s="49"/>
      <c r="BB152" s="48"/>
      <c r="BC152" s="49"/>
      <c r="BD152" s="48"/>
      <c r="BE152" s="120" t="s">
        <v>408</v>
      </c>
      <c r="BF152" s="120" t="s">
        <v>408</v>
      </c>
      <c r="BG152" s="120" t="s">
        <v>408</v>
      </c>
      <c r="BH152" s="120" t="s">
        <v>408</v>
      </c>
      <c r="BI152" s="2"/>
      <c r="BJ152" s="3"/>
      <c r="BK152" s="3"/>
      <c r="BL152" s="3"/>
      <c r="BM152" s="3"/>
    </row>
    <row r="153" spans="1:65" ht="15">
      <c r="A153" s="65" t="s">
        <v>596</v>
      </c>
      <c r="B153" s="66"/>
      <c r="C153" s="66"/>
      <c r="D153" s="67">
        <v>466.6666666666667</v>
      </c>
      <c r="E153" s="127"/>
      <c r="F153" s="98" t="str">
        <f>HYPERLINK("https://yt3.ggpht.com/a/AATXAJwOVR2WEul_W4z44BItav-2pITWZE2I52etdg=s88-c-k-c0xffffffff-no-rj-mo")</f>
        <v>https://yt3.ggpht.com/a/AATXAJwOVR2WEul_W4z44BItav-2pITWZE2I52etdg=s88-c-k-c0xffffffff-no-rj-mo</v>
      </c>
      <c r="G153" s="128"/>
      <c r="H153" s="70" t="s">
        <v>1058</v>
      </c>
      <c r="I153" s="71"/>
      <c r="J153" s="129"/>
      <c r="K153" s="70" t="s">
        <v>1058</v>
      </c>
      <c r="L153" s="130">
        <v>323.51612903225805</v>
      </c>
      <c r="M153" s="75">
        <v>9788.9150390625</v>
      </c>
      <c r="N153" s="75">
        <v>5881.70947265625</v>
      </c>
      <c r="O153" s="76"/>
      <c r="P153" s="77"/>
      <c r="Q153" s="77"/>
      <c r="R153" s="131"/>
      <c r="S153" s="48">
        <v>1</v>
      </c>
      <c r="T153" s="48">
        <v>1</v>
      </c>
      <c r="U153" s="49">
        <v>0</v>
      </c>
      <c r="V153" s="49">
        <v>0.071429</v>
      </c>
      <c r="W153" s="49">
        <v>0</v>
      </c>
      <c r="X153" s="49">
        <v>0.658886</v>
      </c>
      <c r="Y153" s="49">
        <v>0</v>
      </c>
      <c r="Z153" s="49">
        <v>1</v>
      </c>
      <c r="AA153" s="72">
        <v>153</v>
      </c>
      <c r="AB153" s="72"/>
      <c r="AC153" s="73"/>
      <c r="AD153" s="80" t="s">
        <v>1058</v>
      </c>
      <c r="AE153" s="80"/>
      <c r="AF153" s="80"/>
      <c r="AG153" s="80"/>
      <c r="AH153" s="80"/>
      <c r="AI153" s="80"/>
      <c r="AJ153" s="84">
        <v>41168.72635416667</v>
      </c>
      <c r="AK153" s="82" t="str">
        <f>HYPERLINK("https://yt3.ggpht.com/a/AATXAJwOVR2WEul_W4z44BItav-2pITWZE2I52etdg=s88-c-k-c0xffffffff-no-rj-mo")</f>
        <v>https://yt3.ggpht.com/a/AATXAJwOVR2WEul_W4z44BItav-2pITWZE2I52etdg=s88-c-k-c0xffffffff-no-rj-mo</v>
      </c>
      <c r="AL153" s="80">
        <v>13</v>
      </c>
      <c r="AM153" s="80">
        <v>0</v>
      </c>
      <c r="AN153" s="80">
        <v>0</v>
      </c>
      <c r="AO153" s="80" t="b">
        <v>0</v>
      </c>
      <c r="AP153" s="80">
        <v>1</v>
      </c>
      <c r="AQ153" s="80"/>
      <c r="AR153" s="80"/>
      <c r="AS153" s="80" t="s">
        <v>230</v>
      </c>
      <c r="AT153" s="82" t="str">
        <f>HYPERLINK("https://www.youtube.com/channel/UCOnfASrbw0effD5EpxKpnmA")</f>
        <v>https://www.youtube.com/channel/UCOnfASrbw0effD5EpxKpnmA</v>
      </c>
      <c r="AU153" s="79" t="str">
        <f>REPLACE(INDEX(GroupVertices[Group],MATCH(Vertices[[#This Row],[Vertex]],GroupVertices[Vertex],0)),1,1,"")</f>
        <v>8</v>
      </c>
      <c r="AV153" s="48"/>
      <c r="AW153" s="49"/>
      <c r="AX153" s="48"/>
      <c r="AY153" s="49"/>
      <c r="AZ153" s="48"/>
      <c r="BA153" s="49"/>
      <c r="BB153" s="48"/>
      <c r="BC153" s="49"/>
      <c r="BD153" s="48"/>
      <c r="BE153" s="120" t="s">
        <v>408</v>
      </c>
      <c r="BF153" s="120" t="s">
        <v>408</v>
      </c>
      <c r="BG153" s="120" t="s">
        <v>408</v>
      </c>
      <c r="BH153" s="120" t="s">
        <v>408</v>
      </c>
      <c r="BI153" s="2"/>
      <c r="BJ153" s="3"/>
      <c r="BK153" s="3"/>
      <c r="BL153" s="3"/>
      <c r="BM153" s="3"/>
    </row>
    <row r="154" spans="1:65" ht="15">
      <c r="A154" s="65" t="s">
        <v>597</v>
      </c>
      <c r="B154" s="66"/>
      <c r="C154" s="66"/>
      <c r="D154" s="67">
        <v>466.6666666666667</v>
      </c>
      <c r="E154" s="127"/>
      <c r="F154" s="98" t="str">
        <f>HYPERLINK("https://yt3.ggpht.com/a/AATXAJxal-Uh5OgnXOm0JhvI5NXBJzdcrvJqJa8RZw=s88-c-k-c0xffffffff-no-rj-mo")</f>
        <v>https://yt3.ggpht.com/a/AATXAJxal-Uh5OgnXOm0JhvI5NXBJzdcrvJqJa8RZw=s88-c-k-c0xffffffff-no-rj-mo</v>
      </c>
      <c r="G154" s="128"/>
      <c r="H154" s="70" t="s">
        <v>1059</v>
      </c>
      <c r="I154" s="71"/>
      <c r="J154" s="129"/>
      <c r="K154" s="70" t="s">
        <v>1059</v>
      </c>
      <c r="L154" s="130">
        <v>323.51612903225805</v>
      </c>
      <c r="M154" s="75">
        <v>5709.65185546875</v>
      </c>
      <c r="N154" s="75">
        <v>5232.54541015625</v>
      </c>
      <c r="O154" s="76"/>
      <c r="P154" s="77"/>
      <c r="Q154" s="77"/>
      <c r="R154" s="131"/>
      <c r="S154" s="48">
        <v>1</v>
      </c>
      <c r="T154" s="48">
        <v>1</v>
      </c>
      <c r="U154" s="49">
        <v>0</v>
      </c>
      <c r="V154" s="49">
        <v>0.111111</v>
      </c>
      <c r="W154" s="49">
        <v>0</v>
      </c>
      <c r="X154" s="49">
        <v>0.592208</v>
      </c>
      <c r="Y154" s="49">
        <v>0</v>
      </c>
      <c r="Z154" s="49">
        <v>1</v>
      </c>
      <c r="AA154" s="72">
        <v>154</v>
      </c>
      <c r="AB154" s="72"/>
      <c r="AC154" s="73"/>
      <c r="AD154" s="80" t="s">
        <v>1059</v>
      </c>
      <c r="AE154" s="80" t="s">
        <v>1367</v>
      </c>
      <c r="AF154" s="80"/>
      <c r="AG154" s="80"/>
      <c r="AH154" s="80"/>
      <c r="AI154" s="80"/>
      <c r="AJ154" s="84">
        <v>41086.225439814814</v>
      </c>
      <c r="AK154" s="82" t="str">
        <f>HYPERLINK("https://yt3.ggpht.com/a/AATXAJxal-Uh5OgnXOm0JhvI5NXBJzdcrvJqJa8RZw=s88-c-k-c0xffffffff-no-rj-mo")</f>
        <v>https://yt3.ggpht.com/a/AATXAJxal-Uh5OgnXOm0JhvI5NXBJzdcrvJqJa8RZw=s88-c-k-c0xffffffff-no-rj-mo</v>
      </c>
      <c r="AL154" s="80">
        <v>4292</v>
      </c>
      <c r="AM154" s="80">
        <v>0</v>
      </c>
      <c r="AN154" s="80">
        <v>0</v>
      </c>
      <c r="AO154" s="80" t="b">
        <v>1</v>
      </c>
      <c r="AP154" s="80">
        <v>31</v>
      </c>
      <c r="AQ154" s="80"/>
      <c r="AR154" s="80"/>
      <c r="AS154" s="80" t="s">
        <v>230</v>
      </c>
      <c r="AT154" s="82" t="str">
        <f>HYPERLINK("https://www.youtube.com/channel/UCKhZm9FwH3Agf6k2p_OIsAQ")</f>
        <v>https://www.youtube.com/channel/UCKhZm9FwH3Agf6k2p_OIsAQ</v>
      </c>
      <c r="AU154" s="79" t="str">
        <f>REPLACE(INDEX(GroupVertices[Group],MATCH(Vertices[[#This Row],[Vertex]],GroupVertices[Vertex],0)),1,1,"")</f>
        <v>9</v>
      </c>
      <c r="AV154" s="48">
        <v>8</v>
      </c>
      <c r="AW154" s="49">
        <v>12.903225806451612</v>
      </c>
      <c r="AX154" s="48">
        <v>0</v>
      </c>
      <c r="AY154" s="49">
        <v>0</v>
      </c>
      <c r="AZ154" s="48">
        <v>0</v>
      </c>
      <c r="BA154" s="49">
        <v>0</v>
      </c>
      <c r="BB154" s="48">
        <v>54</v>
      </c>
      <c r="BC154" s="49">
        <v>87.09677419354838</v>
      </c>
      <c r="BD154" s="48">
        <v>62</v>
      </c>
      <c r="BE154" s="120" t="s">
        <v>408</v>
      </c>
      <c r="BF154" s="120" t="s">
        <v>408</v>
      </c>
      <c r="BG154" s="120" t="s">
        <v>408</v>
      </c>
      <c r="BH154" s="120" t="s">
        <v>408</v>
      </c>
      <c r="BI154" s="2"/>
      <c r="BJ154" s="3"/>
      <c r="BK154" s="3"/>
      <c r="BL154" s="3"/>
      <c r="BM154" s="3"/>
    </row>
    <row r="155" spans="1:65" ht="15">
      <c r="A155" s="65" t="s">
        <v>598</v>
      </c>
      <c r="B155" s="66"/>
      <c r="C155" s="66"/>
      <c r="D155" s="67">
        <v>466.6666666666667</v>
      </c>
      <c r="E155" s="127"/>
      <c r="F155" s="98" t="str">
        <f>HYPERLINK("https://yt3.ggpht.com/a/AATXAJzPunXQeL4NHiaeduxGbqdZ8aNBbGsPZIrRkg=s88-c-k-c0xffffffff-no-rj-mo")</f>
        <v>https://yt3.ggpht.com/a/AATXAJzPunXQeL4NHiaeduxGbqdZ8aNBbGsPZIrRkg=s88-c-k-c0xffffffff-no-rj-mo</v>
      </c>
      <c r="G155" s="128"/>
      <c r="H155" s="70" t="s">
        <v>1060</v>
      </c>
      <c r="I155" s="71"/>
      <c r="J155" s="129"/>
      <c r="K155" s="70" t="s">
        <v>1060</v>
      </c>
      <c r="L155" s="130">
        <v>323.51612903225805</v>
      </c>
      <c r="M155" s="75">
        <v>6268.3154296875</v>
      </c>
      <c r="N155" s="75">
        <v>3470.727294921875</v>
      </c>
      <c r="O155" s="76"/>
      <c r="P155" s="77"/>
      <c r="Q155" s="77"/>
      <c r="R155" s="131"/>
      <c r="S155" s="48">
        <v>1</v>
      </c>
      <c r="T155" s="48">
        <v>1</v>
      </c>
      <c r="U155" s="49">
        <v>0</v>
      </c>
      <c r="V155" s="49">
        <v>0.111111</v>
      </c>
      <c r="W155" s="49">
        <v>0</v>
      </c>
      <c r="X155" s="49">
        <v>0.592208</v>
      </c>
      <c r="Y155" s="49">
        <v>0</v>
      </c>
      <c r="Z155" s="49">
        <v>1</v>
      </c>
      <c r="AA155" s="72">
        <v>155</v>
      </c>
      <c r="AB155" s="72"/>
      <c r="AC155" s="73"/>
      <c r="AD155" s="80" t="s">
        <v>1060</v>
      </c>
      <c r="AE155" s="80"/>
      <c r="AF155" s="80"/>
      <c r="AG155" s="80"/>
      <c r="AH155" s="80"/>
      <c r="AI155" s="80"/>
      <c r="AJ155" s="84">
        <v>41445.65074074074</v>
      </c>
      <c r="AK155" s="82" t="str">
        <f>HYPERLINK("https://yt3.ggpht.com/a/AATXAJzPunXQeL4NHiaeduxGbqdZ8aNBbGsPZIrRkg=s88-c-k-c0xffffffff-no-rj-mo")</f>
        <v>https://yt3.ggpht.com/a/AATXAJzPunXQeL4NHiaeduxGbqdZ8aNBbGsPZIrRkg=s88-c-k-c0xffffffff-no-rj-mo</v>
      </c>
      <c r="AL155" s="80">
        <v>0</v>
      </c>
      <c r="AM155" s="80">
        <v>0</v>
      </c>
      <c r="AN155" s="80">
        <v>12</v>
      </c>
      <c r="AO155" s="80" t="b">
        <v>0</v>
      </c>
      <c r="AP155" s="80">
        <v>0</v>
      </c>
      <c r="AQ155" s="80"/>
      <c r="AR155" s="80"/>
      <c r="AS155" s="80" t="s">
        <v>230</v>
      </c>
      <c r="AT155" s="82" t="str">
        <f>HYPERLINK("https://www.youtube.com/channel/UCrh8CGftRFYnUFanFFE932A")</f>
        <v>https://www.youtube.com/channel/UCrh8CGftRFYnUFanFFE932A</v>
      </c>
      <c r="AU155" s="79" t="str">
        <f>REPLACE(INDEX(GroupVertices[Group],MATCH(Vertices[[#This Row],[Vertex]],GroupVertices[Vertex],0)),1,1,"")</f>
        <v>9</v>
      </c>
      <c r="AV155" s="48"/>
      <c r="AW155" s="49"/>
      <c r="AX155" s="48"/>
      <c r="AY155" s="49"/>
      <c r="AZ155" s="48"/>
      <c r="BA155" s="49"/>
      <c r="BB155" s="48"/>
      <c r="BC155" s="49"/>
      <c r="BD155" s="48"/>
      <c r="BE155" s="120" t="s">
        <v>408</v>
      </c>
      <c r="BF155" s="120" t="s">
        <v>408</v>
      </c>
      <c r="BG155" s="120" t="s">
        <v>408</v>
      </c>
      <c r="BH155" s="120" t="s">
        <v>408</v>
      </c>
      <c r="BI155" s="2"/>
      <c r="BJ155" s="3"/>
      <c r="BK155" s="3"/>
      <c r="BL155" s="3"/>
      <c r="BM155" s="3"/>
    </row>
    <row r="156" spans="1:65" ht="15">
      <c r="A156" s="65" t="s">
        <v>599</v>
      </c>
      <c r="B156" s="66"/>
      <c r="C156" s="66"/>
      <c r="D156" s="67">
        <v>466.6666666666667</v>
      </c>
      <c r="E156" s="127"/>
      <c r="F156" s="98" t="str">
        <f>HYPERLINK("https://yt3.ggpht.com/a/AATXAJww3cSFGNoxKjp8dlaAUhF8EkodMXA17p7eAQ=s88-c-k-c0xffffffff-no-rj-mo")</f>
        <v>https://yt3.ggpht.com/a/AATXAJww3cSFGNoxKjp8dlaAUhF8EkodMXA17p7eAQ=s88-c-k-c0xffffffff-no-rj-mo</v>
      </c>
      <c r="G156" s="128"/>
      <c r="H156" s="70" t="s">
        <v>1061</v>
      </c>
      <c r="I156" s="71"/>
      <c r="J156" s="129"/>
      <c r="K156" s="70" t="s">
        <v>1061</v>
      </c>
      <c r="L156" s="130">
        <v>323.51612903225805</v>
      </c>
      <c r="M156" s="75">
        <v>6794.533203125</v>
      </c>
      <c r="N156" s="75">
        <v>4344.4912109375</v>
      </c>
      <c r="O156" s="76"/>
      <c r="P156" s="77"/>
      <c r="Q156" s="77"/>
      <c r="R156" s="131"/>
      <c r="S156" s="48">
        <v>1</v>
      </c>
      <c r="T156" s="48">
        <v>1</v>
      </c>
      <c r="U156" s="49">
        <v>0</v>
      </c>
      <c r="V156" s="49">
        <v>0.111111</v>
      </c>
      <c r="W156" s="49">
        <v>0</v>
      </c>
      <c r="X156" s="49">
        <v>0.592208</v>
      </c>
      <c r="Y156" s="49">
        <v>0</v>
      </c>
      <c r="Z156" s="49">
        <v>1</v>
      </c>
      <c r="AA156" s="72">
        <v>156</v>
      </c>
      <c r="AB156" s="72"/>
      <c r="AC156" s="73"/>
      <c r="AD156" s="80" t="s">
        <v>1061</v>
      </c>
      <c r="AE156" s="80"/>
      <c r="AF156" s="80"/>
      <c r="AG156" s="80"/>
      <c r="AH156" s="80"/>
      <c r="AI156" s="80"/>
      <c r="AJ156" s="84">
        <v>41198.35900462963</v>
      </c>
      <c r="AK156" s="82" t="str">
        <f>HYPERLINK("https://yt3.ggpht.com/a/AATXAJww3cSFGNoxKjp8dlaAUhF8EkodMXA17p7eAQ=s88-c-k-c0xffffffff-no-rj-mo")</f>
        <v>https://yt3.ggpht.com/a/AATXAJww3cSFGNoxKjp8dlaAUhF8EkodMXA17p7eAQ=s88-c-k-c0xffffffff-no-rj-mo</v>
      </c>
      <c r="AL156" s="80">
        <v>0</v>
      </c>
      <c r="AM156" s="80">
        <v>0</v>
      </c>
      <c r="AN156" s="80">
        <v>0</v>
      </c>
      <c r="AO156" s="80" t="b">
        <v>0</v>
      </c>
      <c r="AP156" s="80">
        <v>0</v>
      </c>
      <c r="AQ156" s="80"/>
      <c r="AR156" s="80"/>
      <c r="AS156" s="80" t="s">
        <v>230</v>
      </c>
      <c r="AT156" s="82" t="str">
        <f>HYPERLINK("https://www.youtube.com/channel/UCYyWCfl36cbHL4ObejxDLNw")</f>
        <v>https://www.youtube.com/channel/UCYyWCfl36cbHL4ObejxDLNw</v>
      </c>
      <c r="AU156" s="79" t="str">
        <f>REPLACE(INDEX(GroupVertices[Group],MATCH(Vertices[[#This Row],[Vertex]],GroupVertices[Vertex],0)),1,1,"")</f>
        <v>9</v>
      </c>
      <c r="AV156" s="48"/>
      <c r="AW156" s="49"/>
      <c r="AX156" s="48"/>
      <c r="AY156" s="49"/>
      <c r="AZ156" s="48"/>
      <c r="BA156" s="49"/>
      <c r="BB156" s="48"/>
      <c r="BC156" s="49"/>
      <c r="BD156" s="48"/>
      <c r="BE156" s="120" t="s">
        <v>408</v>
      </c>
      <c r="BF156" s="120" t="s">
        <v>408</v>
      </c>
      <c r="BG156" s="120" t="s">
        <v>408</v>
      </c>
      <c r="BH156" s="120" t="s">
        <v>408</v>
      </c>
      <c r="BI156" s="2"/>
      <c r="BJ156" s="3"/>
      <c r="BK156" s="3"/>
      <c r="BL156" s="3"/>
      <c r="BM156" s="3"/>
    </row>
    <row r="157" spans="1:65" ht="15">
      <c r="A157" s="65" t="s">
        <v>600</v>
      </c>
      <c r="B157" s="66"/>
      <c r="C157" s="66"/>
      <c r="D157" s="67">
        <v>1000</v>
      </c>
      <c r="E157" s="127"/>
      <c r="F157" s="98" t="str">
        <f>HYPERLINK("https://yt3.ggpht.com/a/AATXAJzoVJZnrawhNjuzt2lkswc_ciXEIIQbUB8fEA=s88-c-k-c0xffffffff-no-rj-mo")</f>
        <v>https://yt3.ggpht.com/a/AATXAJzoVJZnrawhNjuzt2lkswc_ciXEIIQbUB8fEA=s88-c-k-c0xffffffff-no-rj-mo</v>
      </c>
      <c r="G157" s="128"/>
      <c r="H157" s="70" t="s">
        <v>1062</v>
      </c>
      <c r="I157" s="71"/>
      <c r="J157" s="129"/>
      <c r="K157" s="70" t="s">
        <v>1062</v>
      </c>
      <c r="L157" s="130">
        <v>968.5483870967741</v>
      </c>
      <c r="M157" s="75">
        <v>8815.177734375</v>
      </c>
      <c r="N157" s="75">
        <v>6406.2509765625</v>
      </c>
      <c r="O157" s="76"/>
      <c r="P157" s="77"/>
      <c r="Q157" s="77"/>
      <c r="R157" s="131"/>
      <c r="S157" s="48">
        <v>3</v>
      </c>
      <c r="T157" s="48">
        <v>3</v>
      </c>
      <c r="U157" s="49">
        <v>14</v>
      </c>
      <c r="V157" s="49">
        <v>0.125</v>
      </c>
      <c r="W157" s="49">
        <v>0</v>
      </c>
      <c r="X157" s="49">
        <v>1.72153</v>
      </c>
      <c r="Y157" s="49">
        <v>0</v>
      </c>
      <c r="Z157" s="49">
        <v>1</v>
      </c>
      <c r="AA157" s="72">
        <v>157</v>
      </c>
      <c r="AB157" s="72"/>
      <c r="AC157" s="73"/>
      <c r="AD157" s="80" t="s">
        <v>1062</v>
      </c>
      <c r="AE157" s="80" t="s">
        <v>1368</v>
      </c>
      <c r="AF157" s="80"/>
      <c r="AG157" s="80"/>
      <c r="AH157" s="80"/>
      <c r="AI157" s="80" t="s">
        <v>1426</v>
      </c>
      <c r="AJ157" s="84">
        <v>39936.90703703704</v>
      </c>
      <c r="AK157" s="82" t="str">
        <f>HYPERLINK("https://yt3.ggpht.com/a/AATXAJzoVJZnrawhNjuzt2lkswc_ciXEIIQbUB8fEA=s88-c-k-c0xffffffff-no-rj-mo")</f>
        <v>https://yt3.ggpht.com/a/AATXAJzoVJZnrawhNjuzt2lkswc_ciXEIIQbUB8fEA=s88-c-k-c0xffffffff-no-rj-mo</v>
      </c>
      <c r="AL157" s="80">
        <v>157980</v>
      </c>
      <c r="AM157" s="80">
        <v>0</v>
      </c>
      <c r="AN157" s="80">
        <v>2620</v>
      </c>
      <c r="AO157" s="80" t="b">
        <v>0</v>
      </c>
      <c r="AP157" s="80">
        <v>79</v>
      </c>
      <c r="AQ157" s="80"/>
      <c r="AR157" s="80"/>
      <c r="AS157" s="80" t="s">
        <v>230</v>
      </c>
      <c r="AT157" s="82" t="str">
        <f>HYPERLINK("https://www.youtube.com/channel/UCLKL6RjR4FG0_kWNw7mJS1A")</f>
        <v>https://www.youtube.com/channel/UCLKL6RjR4FG0_kWNw7mJS1A</v>
      </c>
      <c r="AU157" s="79" t="str">
        <f>REPLACE(INDEX(GroupVertices[Group],MATCH(Vertices[[#This Row],[Vertex]],GroupVertices[Vertex],0)),1,1,"")</f>
        <v>8</v>
      </c>
      <c r="AV157" s="48">
        <v>0</v>
      </c>
      <c r="AW157" s="49">
        <v>0</v>
      </c>
      <c r="AX157" s="48">
        <v>0</v>
      </c>
      <c r="AY157" s="49">
        <v>0</v>
      </c>
      <c r="AZ157" s="48">
        <v>0</v>
      </c>
      <c r="BA157" s="49">
        <v>0</v>
      </c>
      <c r="BB157" s="48">
        <v>8</v>
      </c>
      <c r="BC157" s="49">
        <v>100</v>
      </c>
      <c r="BD157" s="48">
        <v>8</v>
      </c>
      <c r="BE157" s="120" t="s">
        <v>408</v>
      </c>
      <c r="BF157" s="120" t="s">
        <v>408</v>
      </c>
      <c r="BG157" s="120" t="s">
        <v>408</v>
      </c>
      <c r="BH157" s="120" t="s">
        <v>408</v>
      </c>
      <c r="BI157" s="2"/>
      <c r="BJ157" s="3"/>
      <c r="BK157" s="3"/>
      <c r="BL157" s="3"/>
      <c r="BM157" s="3"/>
    </row>
    <row r="158" spans="1:65" ht="15">
      <c r="A158" s="65" t="s">
        <v>601</v>
      </c>
      <c r="B158" s="66"/>
      <c r="C158" s="66"/>
      <c r="D158" s="67">
        <v>466.6666666666667</v>
      </c>
      <c r="E158" s="127"/>
      <c r="F158" s="98" t="str">
        <f>HYPERLINK("https://yt3.ggpht.com/a/AATXAJytnjtwXNlKAsKX3QQv-3oe0YP6ADwjx4mUWQ=s88-c-k-c0xffffffff-no-rj-mo")</f>
        <v>https://yt3.ggpht.com/a/AATXAJytnjtwXNlKAsKX3QQv-3oe0YP6ADwjx4mUWQ=s88-c-k-c0xffffffff-no-rj-mo</v>
      </c>
      <c r="G158" s="128"/>
      <c r="H158" s="70" t="s">
        <v>1063</v>
      </c>
      <c r="I158" s="71"/>
      <c r="J158" s="129"/>
      <c r="K158" s="70" t="s">
        <v>1063</v>
      </c>
      <c r="L158" s="130">
        <v>323.51612903225805</v>
      </c>
      <c r="M158" s="75">
        <v>8536.3798828125</v>
      </c>
      <c r="N158" s="75">
        <v>5639.931640625</v>
      </c>
      <c r="O158" s="76"/>
      <c r="P158" s="77"/>
      <c r="Q158" s="77"/>
      <c r="R158" s="131"/>
      <c r="S158" s="48">
        <v>1</v>
      </c>
      <c r="T158" s="48">
        <v>1</v>
      </c>
      <c r="U158" s="49">
        <v>0</v>
      </c>
      <c r="V158" s="49">
        <v>0.083333</v>
      </c>
      <c r="W158" s="49">
        <v>0</v>
      </c>
      <c r="X158" s="49">
        <v>0.637766</v>
      </c>
      <c r="Y158" s="49">
        <v>0</v>
      </c>
      <c r="Z158" s="49">
        <v>1</v>
      </c>
      <c r="AA158" s="72">
        <v>158</v>
      </c>
      <c r="AB158" s="72"/>
      <c r="AC158" s="73"/>
      <c r="AD158" s="80" t="s">
        <v>1063</v>
      </c>
      <c r="AE158" s="80"/>
      <c r="AF158" s="80"/>
      <c r="AG158" s="80"/>
      <c r="AH158" s="80"/>
      <c r="AI158" s="80"/>
      <c r="AJ158" s="84">
        <v>39500.82413194444</v>
      </c>
      <c r="AK158" s="82" t="str">
        <f>HYPERLINK("https://yt3.ggpht.com/a/AATXAJytnjtwXNlKAsKX3QQv-3oe0YP6ADwjx4mUWQ=s88-c-k-c0xffffffff-no-rj-mo")</f>
        <v>https://yt3.ggpht.com/a/AATXAJytnjtwXNlKAsKX3QQv-3oe0YP6ADwjx4mUWQ=s88-c-k-c0xffffffff-no-rj-mo</v>
      </c>
      <c r="AL158" s="80">
        <v>249397</v>
      </c>
      <c r="AM158" s="80">
        <v>0</v>
      </c>
      <c r="AN158" s="80">
        <v>151</v>
      </c>
      <c r="AO158" s="80" t="b">
        <v>0</v>
      </c>
      <c r="AP158" s="80">
        <v>16</v>
      </c>
      <c r="AQ158" s="80"/>
      <c r="AR158" s="80"/>
      <c r="AS158" s="80" t="s">
        <v>230</v>
      </c>
      <c r="AT158" s="82" t="str">
        <f>HYPERLINK("https://www.youtube.com/channel/UCMhHl1VbqopFrfmyV9nmCWA")</f>
        <v>https://www.youtube.com/channel/UCMhHl1VbqopFrfmyV9nmCWA</v>
      </c>
      <c r="AU158" s="79" t="str">
        <f>REPLACE(INDEX(GroupVertices[Group],MATCH(Vertices[[#This Row],[Vertex]],GroupVertices[Vertex],0)),1,1,"")</f>
        <v>8</v>
      </c>
      <c r="AV158" s="48"/>
      <c r="AW158" s="49"/>
      <c r="AX158" s="48"/>
      <c r="AY158" s="49"/>
      <c r="AZ158" s="48"/>
      <c r="BA158" s="49"/>
      <c r="BB158" s="48"/>
      <c r="BC158" s="49"/>
      <c r="BD158" s="48"/>
      <c r="BE158" s="120" t="s">
        <v>408</v>
      </c>
      <c r="BF158" s="120" t="s">
        <v>408</v>
      </c>
      <c r="BG158" s="120" t="s">
        <v>408</v>
      </c>
      <c r="BH158" s="120" t="s">
        <v>408</v>
      </c>
      <c r="BI158" s="2"/>
      <c r="BJ158" s="3"/>
      <c r="BK158" s="3"/>
      <c r="BL158" s="3"/>
      <c r="BM158" s="3"/>
    </row>
    <row r="159" spans="1:65" ht="15">
      <c r="A159" s="65" t="s">
        <v>602</v>
      </c>
      <c r="B159" s="66"/>
      <c r="C159" s="66"/>
      <c r="D159" s="67">
        <v>466.6666666666667</v>
      </c>
      <c r="E159" s="127"/>
      <c r="F159" s="98" t="str">
        <f>HYPERLINK("https://yt3.ggpht.com/a/AATXAJzFcFWAklOO7WPrD3lVeeFRXhlb6vEvIRJ0Tw=s88-c-k-c0xffffffff-no-rj-mo")</f>
        <v>https://yt3.ggpht.com/a/AATXAJzFcFWAklOO7WPrD3lVeeFRXhlb6vEvIRJ0Tw=s88-c-k-c0xffffffff-no-rj-mo</v>
      </c>
      <c r="G159" s="128"/>
      <c r="H159" s="70" t="s">
        <v>1064</v>
      </c>
      <c r="I159" s="71"/>
      <c r="J159" s="129"/>
      <c r="K159" s="70" t="s">
        <v>1064</v>
      </c>
      <c r="L159" s="130">
        <v>323.51612903225805</v>
      </c>
      <c r="M159" s="75">
        <v>8646.453125</v>
      </c>
      <c r="N159" s="75">
        <v>7395.95458984375</v>
      </c>
      <c r="O159" s="76"/>
      <c r="P159" s="77"/>
      <c r="Q159" s="77"/>
      <c r="R159" s="131"/>
      <c r="S159" s="48">
        <v>1</v>
      </c>
      <c r="T159" s="48">
        <v>1</v>
      </c>
      <c r="U159" s="49">
        <v>0</v>
      </c>
      <c r="V159" s="49">
        <v>0.083333</v>
      </c>
      <c r="W159" s="49">
        <v>0</v>
      </c>
      <c r="X159" s="49">
        <v>0.637766</v>
      </c>
      <c r="Y159" s="49">
        <v>0</v>
      </c>
      <c r="Z159" s="49">
        <v>1</v>
      </c>
      <c r="AA159" s="72">
        <v>159</v>
      </c>
      <c r="AB159" s="72"/>
      <c r="AC159" s="73"/>
      <c r="AD159" s="80" t="s">
        <v>1064</v>
      </c>
      <c r="AE159" s="80"/>
      <c r="AF159" s="80"/>
      <c r="AG159" s="80"/>
      <c r="AH159" s="80"/>
      <c r="AI159" s="80"/>
      <c r="AJ159" s="84">
        <v>40817.69966435185</v>
      </c>
      <c r="AK159" s="82" t="str">
        <f>HYPERLINK("https://yt3.ggpht.com/a/AATXAJzFcFWAklOO7WPrD3lVeeFRXhlb6vEvIRJ0Tw=s88-c-k-c0xffffffff-no-rj-mo")</f>
        <v>https://yt3.ggpht.com/a/AATXAJzFcFWAklOO7WPrD3lVeeFRXhlb6vEvIRJ0Tw=s88-c-k-c0xffffffff-no-rj-mo</v>
      </c>
      <c r="AL159" s="80">
        <v>0</v>
      </c>
      <c r="AM159" s="80">
        <v>0</v>
      </c>
      <c r="AN159" s="80">
        <v>2</v>
      </c>
      <c r="AO159" s="80" t="b">
        <v>0</v>
      </c>
      <c r="AP159" s="80">
        <v>0</v>
      </c>
      <c r="AQ159" s="80"/>
      <c r="AR159" s="80"/>
      <c r="AS159" s="80" t="s">
        <v>230</v>
      </c>
      <c r="AT159" s="82" t="str">
        <f>HYPERLINK("https://www.youtube.com/channel/UCUGy2u7dX3z-0TxexjH6Y7Q")</f>
        <v>https://www.youtube.com/channel/UCUGy2u7dX3z-0TxexjH6Y7Q</v>
      </c>
      <c r="AU159" s="79" t="str">
        <f>REPLACE(INDEX(GroupVertices[Group],MATCH(Vertices[[#This Row],[Vertex]],GroupVertices[Vertex],0)),1,1,"")</f>
        <v>8</v>
      </c>
      <c r="AV159" s="48"/>
      <c r="AW159" s="49"/>
      <c r="AX159" s="48"/>
      <c r="AY159" s="49"/>
      <c r="AZ159" s="48"/>
      <c r="BA159" s="49"/>
      <c r="BB159" s="48"/>
      <c r="BC159" s="49"/>
      <c r="BD159" s="48"/>
      <c r="BE159" s="120" t="s">
        <v>408</v>
      </c>
      <c r="BF159" s="120" t="s">
        <v>408</v>
      </c>
      <c r="BG159" s="120" t="s">
        <v>408</v>
      </c>
      <c r="BH159" s="120" t="s">
        <v>408</v>
      </c>
      <c r="BI159" s="2"/>
      <c r="BJ159" s="3"/>
      <c r="BK159" s="3"/>
      <c r="BL159" s="3"/>
      <c r="BM159" s="3"/>
    </row>
    <row r="160" spans="1:65" ht="15">
      <c r="A160" s="65" t="s">
        <v>603</v>
      </c>
      <c r="B160" s="66"/>
      <c r="C160" s="66"/>
      <c r="D160" s="67">
        <v>466.6666666666667</v>
      </c>
      <c r="E160" s="127"/>
      <c r="F160" s="98" t="str">
        <f>HYPERLINK("https://yt3.ggpht.com/a/AATXAJyIQ57Fo4z9sjanp7SLrlz5JvepgfJ5KbIuSA=s88-c-k-c0xffffffff-no-rj-mo")</f>
        <v>https://yt3.ggpht.com/a/AATXAJyIQ57Fo4z9sjanp7SLrlz5JvepgfJ5KbIuSA=s88-c-k-c0xffffffff-no-rj-mo</v>
      </c>
      <c r="G160" s="128"/>
      <c r="H160" s="70" t="s">
        <v>1065</v>
      </c>
      <c r="I160" s="71"/>
      <c r="J160" s="129"/>
      <c r="K160" s="70" t="s">
        <v>1065</v>
      </c>
      <c r="L160" s="130">
        <v>323.51612903225805</v>
      </c>
      <c r="M160" s="75">
        <v>2230.41455078125</v>
      </c>
      <c r="N160" s="75">
        <v>2211.9873046875</v>
      </c>
      <c r="O160" s="76"/>
      <c r="P160" s="77"/>
      <c r="Q160" s="77"/>
      <c r="R160" s="131"/>
      <c r="S160" s="48">
        <v>1</v>
      </c>
      <c r="T160" s="48">
        <v>1</v>
      </c>
      <c r="U160" s="49">
        <v>0</v>
      </c>
      <c r="V160" s="49">
        <v>0.008475</v>
      </c>
      <c r="W160" s="49">
        <v>0.02243</v>
      </c>
      <c r="X160" s="49">
        <v>0.487112</v>
      </c>
      <c r="Y160" s="49">
        <v>0</v>
      </c>
      <c r="Z160" s="49">
        <v>1</v>
      </c>
      <c r="AA160" s="72">
        <v>160</v>
      </c>
      <c r="AB160" s="72"/>
      <c r="AC160" s="73"/>
      <c r="AD160" s="80" t="s">
        <v>1065</v>
      </c>
      <c r="AE160" s="80"/>
      <c r="AF160" s="80"/>
      <c r="AG160" s="80"/>
      <c r="AH160" s="80"/>
      <c r="AI160" s="80"/>
      <c r="AJ160" s="84">
        <v>41474.30210648148</v>
      </c>
      <c r="AK160" s="82" t="str">
        <f>HYPERLINK("https://yt3.ggpht.com/a/AATXAJyIQ57Fo4z9sjanp7SLrlz5JvepgfJ5KbIuSA=s88-c-k-c0xffffffff-no-rj-mo")</f>
        <v>https://yt3.ggpht.com/a/AATXAJyIQ57Fo4z9sjanp7SLrlz5JvepgfJ5KbIuSA=s88-c-k-c0xffffffff-no-rj-mo</v>
      </c>
      <c r="AL160" s="80">
        <v>0</v>
      </c>
      <c r="AM160" s="80">
        <v>0</v>
      </c>
      <c r="AN160" s="80">
        <v>0</v>
      </c>
      <c r="AO160" s="80" t="b">
        <v>0</v>
      </c>
      <c r="AP160" s="80">
        <v>0</v>
      </c>
      <c r="AQ160" s="80"/>
      <c r="AR160" s="80"/>
      <c r="AS160" s="80" t="s">
        <v>230</v>
      </c>
      <c r="AT160" s="82" t="str">
        <f>HYPERLINK("https://www.youtube.com/channel/UCmTk8A8oJsDRZk15-Zs0rng")</f>
        <v>https://www.youtube.com/channel/UCmTk8A8oJsDRZk15-Zs0rng</v>
      </c>
      <c r="AU160" s="79" t="str">
        <f>REPLACE(INDEX(GroupVertices[Group],MATCH(Vertices[[#This Row],[Vertex]],GroupVertices[Vertex],0)),1,1,"")</f>
        <v>2</v>
      </c>
      <c r="AV160" s="48"/>
      <c r="AW160" s="49"/>
      <c r="AX160" s="48"/>
      <c r="AY160" s="49"/>
      <c r="AZ160" s="48"/>
      <c r="BA160" s="49"/>
      <c r="BB160" s="48"/>
      <c r="BC160" s="49"/>
      <c r="BD160" s="48"/>
      <c r="BE160" s="120" t="s">
        <v>408</v>
      </c>
      <c r="BF160" s="120" t="s">
        <v>408</v>
      </c>
      <c r="BG160" s="120" t="s">
        <v>408</v>
      </c>
      <c r="BH160" s="120" t="s">
        <v>408</v>
      </c>
      <c r="BI160" s="2"/>
      <c r="BJ160" s="3"/>
      <c r="BK160" s="3"/>
      <c r="BL160" s="3"/>
      <c r="BM160" s="3"/>
    </row>
    <row r="161" spans="1:65" ht="15">
      <c r="A161" s="65" t="s">
        <v>604</v>
      </c>
      <c r="B161" s="66"/>
      <c r="C161" s="66"/>
      <c r="D161" s="67">
        <v>733.3333333333334</v>
      </c>
      <c r="E161" s="127"/>
      <c r="F161" s="98" t="str">
        <f>HYPERLINK("https://yt3.ggpht.com/a/AATXAJy6ny_4AHNOq8FGTF65rXiX2he9B2t6f2j4hg=s88-c-k-c0xffffffff-no-rj-mo")</f>
        <v>https://yt3.ggpht.com/a/AATXAJy6ny_4AHNOq8FGTF65rXiX2he9B2t6f2j4hg=s88-c-k-c0xffffffff-no-rj-mo</v>
      </c>
      <c r="G161" s="128"/>
      <c r="H161" s="70" t="s">
        <v>1066</v>
      </c>
      <c r="I161" s="71"/>
      <c r="J161" s="129"/>
      <c r="K161" s="70" t="s">
        <v>1066</v>
      </c>
      <c r="L161" s="130">
        <v>646.0322580645161</v>
      </c>
      <c r="M161" s="75">
        <v>1120.82421875</v>
      </c>
      <c r="N161" s="75">
        <v>2649.05810546875</v>
      </c>
      <c r="O161" s="76"/>
      <c r="P161" s="77"/>
      <c r="Q161" s="77"/>
      <c r="R161" s="131"/>
      <c r="S161" s="48">
        <v>2</v>
      </c>
      <c r="T161" s="48">
        <v>2</v>
      </c>
      <c r="U161" s="49">
        <v>0</v>
      </c>
      <c r="V161" s="49">
        <v>0.008475</v>
      </c>
      <c r="W161" s="49">
        <v>0.027041</v>
      </c>
      <c r="X161" s="49">
        <v>0.84715</v>
      </c>
      <c r="Y161" s="49">
        <v>0</v>
      </c>
      <c r="Z161" s="49">
        <v>1</v>
      </c>
      <c r="AA161" s="72">
        <v>161</v>
      </c>
      <c r="AB161" s="72"/>
      <c r="AC161" s="73"/>
      <c r="AD161" s="80" t="s">
        <v>1066</v>
      </c>
      <c r="AE161" s="80"/>
      <c r="AF161" s="80"/>
      <c r="AG161" s="80"/>
      <c r="AH161" s="80"/>
      <c r="AI161" s="80"/>
      <c r="AJ161" s="84">
        <v>41557.75641203704</v>
      </c>
      <c r="AK161" s="82" t="str">
        <f>HYPERLINK("https://yt3.ggpht.com/a/AATXAJy6ny_4AHNOq8FGTF65rXiX2he9B2t6f2j4hg=s88-c-k-c0xffffffff-no-rj-mo")</f>
        <v>https://yt3.ggpht.com/a/AATXAJy6ny_4AHNOq8FGTF65rXiX2he9B2t6f2j4hg=s88-c-k-c0xffffffff-no-rj-mo</v>
      </c>
      <c r="AL161" s="80">
        <v>129</v>
      </c>
      <c r="AM161" s="80">
        <v>0</v>
      </c>
      <c r="AN161" s="80">
        <v>1</v>
      </c>
      <c r="AO161" s="80" t="b">
        <v>0</v>
      </c>
      <c r="AP161" s="80">
        <v>3</v>
      </c>
      <c r="AQ161" s="80"/>
      <c r="AR161" s="80"/>
      <c r="AS161" s="80" t="s">
        <v>230</v>
      </c>
      <c r="AT161" s="82" t="str">
        <f>HYPERLINK("https://www.youtube.com/channel/UC6bRQV45_B5wpO2bnDjDyow")</f>
        <v>https://www.youtube.com/channel/UC6bRQV45_B5wpO2bnDjDyow</v>
      </c>
      <c r="AU161" s="79" t="str">
        <f>REPLACE(INDEX(GroupVertices[Group],MATCH(Vertices[[#This Row],[Vertex]],GroupVertices[Vertex],0)),1,1,"")</f>
        <v>2</v>
      </c>
      <c r="AV161" s="48"/>
      <c r="AW161" s="49"/>
      <c r="AX161" s="48"/>
      <c r="AY161" s="49"/>
      <c r="AZ161" s="48"/>
      <c r="BA161" s="49"/>
      <c r="BB161" s="48"/>
      <c r="BC161" s="49"/>
      <c r="BD161" s="48"/>
      <c r="BE161" s="120" t="s">
        <v>408</v>
      </c>
      <c r="BF161" s="120" t="s">
        <v>408</v>
      </c>
      <c r="BG161" s="120" t="s">
        <v>408</v>
      </c>
      <c r="BH161" s="120" t="s">
        <v>408</v>
      </c>
      <c r="BI161" s="2"/>
      <c r="BJ161" s="3"/>
      <c r="BK161" s="3"/>
      <c r="BL161" s="3"/>
      <c r="BM161" s="3"/>
    </row>
    <row r="162" spans="1:65" ht="15">
      <c r="A162" s="65" t="s">
        <v>605</v>
      </c>
      <c r="B162" s="66"/>
      <c r="C162" s="66"/>
      <c r="D162" s="67">
        <v>466.6666666666667</v>
      </c>
      <c r="E162" s="127"/>
      <c r="F162" s="98" t="str">
        <f>HYPERLINK("https://yt3.ggpht.com/a/AATXAJyt800pttNamnhqjr20Q71UQ6EnxfMOJRnhFA=s88-c-k-c0xffffffff-no-rj-mo")</f>
        <v>https://yt3.ggpht.com/a/AATXAJyt800pttNamnhqjr20Q71UQ6EnxfMOJRnhFA=s88-c-k-c0xffffffff-no-rj-mo</v>
      </c>
      <c r="G162" s="128"/>
      <c r="H162" s="70" t="s">
        <v>1067</v>
      </c>
      <c r="I162" s="71"/>
      <c r="J162" s="129"/>
      <c r="K162" s="70" t="s">
        <v>1067</v>
      </c>
      <c r="L162" s="130">
        <v>323.51612903225805</v>
      </c>
      <c r="M162" s="75">
        <v>9507.0283203125</v>
      </c>
      <c r="N162" s="75">
        <v>888.3408813476562</v>
      </c>
      <c r="O162" s="76"/>
      <c r="P162" s="77"/>
      <c r="Q162" s="77"/>
      <c r="R162" s="131"/>
      <c r="S162" s="48">
        <v>1</v>
      </c>
      <c r="T162" s="48">
        <v>1</v>
      </c>
      <c r="U162" s="49">
        <v>0</v>
      </c>
      <c r="V162" s="49">
        <v>1</v>
      </c>
      <c r="W162" s="49">
        <v>0</v>
      </c>
      <c r="X162" s="49">
        <v>0.999997</v>
      </c>
      <c r="Y162" s="49">
        <v>0</v>
      </c>
      <c r="Z162" s="49">
        <v>1</v>
      </c>
      <c r="AA162" s="72">
        <v>162</v>
      </c>
      <c r="AB162" s="72"/>
      <c r="AC162" s="73"/>
      <c r="AD162" s="80" t="s">
        <v>1067</v>
      </c>
      <c r="AE162" s="80"/>
      <c r="AF162" s="80"/>
      <c r="AG162" s="80"/>
      <c r="AH162" s="80"/>
      <c r="AI162" s="80"/>
      <c r="AJ162" s="84">
        <v>43974.953356481485</v>
      </c>
      <c r="AK162" s="82" t="str">
        <f>HYPERLINK("https://yt3.ggpht.com/a/AATXAJyt800pttNamnhqjr20Q71UQ6EnxfMOJRnhFA=s88-c-k-c0xffffffff-no-rj-mo")</f>
        <v>https://yt3.ggpht.com/a/AATXAJyt800pttNamnhqjr20Q71UQ6EnxfMOJRnhFA=s88-c-k-c0xffffffff-no-rj-mo</v>
      </c>
      <c r="AL162" s="80">
        <v>682</v>
      </c>
      <c r="AM162" s="80">
        <v>0</v>
      </c>
      <c r="AN162" s="80">
        <v>173</v>
      </c>
      <c r="AO162" s="80" t="b">
        <v>0</v>
      </c>
      <c r="AP162" s="80">
        <v>2</v>
      </c>
      <c r="AQ162" s="80"/>
      <c r="AR162" s="80"/>
      <c r="AS162" s="80" t="s">
        <v>230</v>
      </c>
      <c r="AT162" s="82" t="str">
        <f>HYPERLINK("https://www.youtube.com/channel/UCOZRKgwJMnfnipCEy9CxCjg")</f>
        <v>https://www.youtube.com/channel/UCOZRKgwJMnfnipCEy9CxCjg</v>
      </c>
      <c r="AU162" s="79" t="str">
        <f>REPLACE(INDEX(GroupVertices[Group],MATCH(Vertices[[#This Row],[Vertex]],GroupVertices[Vertex],0)),1,1,"")</f>
        <v>24</v>
      </c>
      <c r="AV162" s="48"/>
      <c r="AW162" s="49"/>
      <c r="AX162" s="48"/>
      <c r="AY162" s="49"/>
      <c r="AZ162" s="48"/>
      <c r="BA162" s="49"/>
      <c r="BB162" s="48"/>
      <c r="BC162" s="49"/>
      <c r="BD162" s="48"/>
      <c r="BE162" s="120" t="s">
        <v>408</v>
      </c>
      <c r="BF162" s="120" t="s">
        <v>408</v>
      </c>
      <c r="BG162" s="120" t="s">
        <v>408</v>
      </c>
      <c r="BH162" s="120" t="s">
        <v>408</v>
      </c>
      <c r="BI162" s="2"/>
      <c r="BJ162" s="3"/>
      <c r="BK162" s="3"/>
      <c r="BL162" s="3"/>
      <c r="BM162" s="3"/>
    </row>
    <row r="163" spans="1:65" ht="15">
      <c r="A163" s="65" t="s">
        <v>606</v>
      </c>
      <c r="B163" s="66"/>
      <c r="C163" s="66"/>
      <c r="D163" s="67">
        <v>466.6666666666667</v>
      </c>
      <c r="E163" s="127"/>
      <c r="F163" s="98" t="str">
        <f>HYPERLINK("https://yt3.ggpht.com/a/AATXAJxAjF_0OvulYOKww7q_OFmJcsLYzNhk7U0QgA=s88-c-k-c0xffffffff-no-rj-mo")</f>
        <v>https://yt3.ggpht.com/a/AATXAJxAjF_0OvulYOKww7q_OFmJcsLYzNhk7U0QgA=s88-c-k-c0xffffffff-no-rj-mo</v>
      </c>
      <c r="G163" s="128"/>
      <c r="H163" s="70" t="s">
        <v>1068</v>
      </c>
      <c r="I163" s="71"/>
      <c r="J163" s="129"/>
      <c r="K163" s="70" t="s">
        <v>1068</v>
      </c>
      <c r="L163" s="130">
        <v>323.51612903225805</v>
      </c>
      <c r="M163" s="75">
        <v>9507.0283203125</v>
      </c>
      <c r="N163" s="75">
        <v>433.8409118652344</v>
      </c>
      <c r="O163" s="76"/>
      <c r="P163" s="77"/>
      <c r="Q163" s="77"/>
      <c r="R163" s="131"/>
      <c r="S163" s="48">
        <v>1</v>
      </c>
      <c r="T163" s="48">
        <v>1</v>
      </c>
      <c r="U163" s="49">
        <v>0</v>
      </c>
      <c r="V163" s="49">
        <v>1</v>
      </c>
      <c r="W163" s="49">
        <v>0</v>
      </c>
      <c r="X163" s="49">
        <v>0.999997</v>
      </c>
      <c r="Y163" s="49">
        <v>0</v>
      </c>
      <c r="Z163" s="49">
        <v>1</v>
      </c>
      <c r="AA163" s="72">
        <v>163</v>
      </c>
      <c r="AB163" s="72"/>
      <c r="AC163" s="73"/>
      <c r="AD163" s="80" t="s">
        <v>1068</v>
      </c>
      <c r="AE163" s="80"/>
      <c r="AF163" s="80"/>
      <c r="AG163" s="80"/>
      <c r="AH163" s="80"/>
      <c r="AI163" s="80"/>
      <c r="AJ163" s="84">
        <v>41567.74596064815</v>
      </c>
      <c r="AK163" s="82" t="str">
        <f>HYPERLINK("https://yt3.ggpht.com/a/AATXAJxAjF_0OvulYOKww7q_OFmJcsLYzNhk7U0QgA=s88-c-k-c0xffffffff-no-rj-mo")</f>
        <v>https://yt3.ggpht.com/a/AATXAJxAjF_0OvulYOKww7q_OFmJcsLYzNhk7U0QgA=s88-c-k-c0xffffffff-no-rj-mo</v>
      </c>
      <c r="AL163" s="80">
        <v>12</v>
      </c>
      <c r="AM163" s="80">
        <v>0</v>
      </c>
      <c r="AN163" s="80">
        <v>0</v>
      </c>
      <c r="AO163" s="80" t="b">
        <v>0</v>
      </c>
      <c r="AP163" s="80">
        <v>1</v>
      </c>
      <c r="AQ163" s="80"/>
      <c r="AR163" s="80"/>
      <c r="AS163" s="80" t="s">
        <v>230</v>
      </c>
      <c r="AT163" s="82" t="str">
        <f>HYPERLINK("https://www.youtube.com/channel/UCefzkIWdkuRt3d5LpN315rw")</f>
        <v>https://www.youtube.com/channel/UCefzkIWdkuRt3d5LpN315rw</v>
      </c>
      <c r="AU163" s="79" t="str">
        <f>REPLACE(INDEX(GroupVertices[Group],MATCH(Vertices[[#This Row],[Vertex]],GroupVertices[Vertex],0)),1,1,"")</f>
        <v>24</v>
      </c>
      <c r="AV163" s="48"/>
      <c r="AW163" s="49"/>
      <c r="AX163" s="48"/>
      <c r="AY163" s="49"/>
      <c r="AZ163" s="48"/>
      <c r="BA163" s="49"/>
      <c r="BB163" s="48"/>
      <c r="BC163" s="49"/>
      <c r="BD163" s="48"/>
      <c r="BE163" s="120" t="s">
        <v>408</v>
      </c>
      <c r="BF163" s="120" t="s">
        <v>408</v>
      </c>
      <c r="BG163" s="120" t="s">
        <v>408</v>
      </c>
      <c r="BH163" s="120" t="s">
        <v>408</v>
      </c>
      <c r="BI163" s="2"/>
      <c r="BJ163" s="3"/>
      <c r="BK163" s="3"/>
      <c r="BL163" s="3"/>
      <c r="BM163" s="3"/>
    </row>
    <row r="164" spans="1:65" ht="15">
      <c r="A164" s="65" t="s">
        <v>607</v>
      </c>
      <c r="B164" s="66"/>
      <c r="C164" s="66"/>
      <c r="D164" s="67">
        <v>1000</v>
      </c>
      <c r="E164" s="127"/>
      <c r="F164" s="98" t="str">
        <f>HYPERLINK("https://yt3.ggpht.com/a/AATXAJy-GjDT1a2BMtie9g8OozQ8vVH70up6EuWd_g=s88-c-k-c0xffffffff-no-rj-mo")</f>
        <v>https://yt3.ggpht.com/a/AATXAJy-GjDT1a2BMtie9g8OozQ8vVH70up6EuWd_g=s88-c-k-c0xffffffff-no-rj-mo</v>
      </c>
      <c r="G164" s="128"/>
      <c r="H164" s="70" t="s">
        <v>1069</v>
      </c>
      <c r="I164" s="71"/>
      <c r="J164" s="129"/>
      <c r="K164" s="70" t="s">
        <v>1069</v>
      </c>
      <c r="L164" s="130">
        <v>968.5483870967741</v>
      </c>
      <c r="M164" s="75">
        <v>8611.1240234375</v>
      </c>
      <c r="N164" s="75">
        <v>4806.736328125</v>
      </c>
      <c r="O164" s="76"/>
      <c r="P164" s="77"/>
      <c r="Q164" s="77"/>
      <c r="R164" s="131"/>
      <c r="S164" s="48">
        <v>3</v>
      </c>
      <c r="T164" s="48">
        <v>3</v>
      </c>
      <c r="U164" s="49">
        <v>6</v>
      </c>
      <c r="V164" s="49">
        <v>0.333333</v>
      </c>
      <c r="W164" s="49">
        <v>0</v>
      </c>
      <c r="X164" s="49">
        <v>1.918913</v>
      </c>
      <c r="Y164" s="49">
        <v>0</v>
      </c>
      <c r="Z164" s="49">
        <v>1</v>
      </c>
      <c r="AA164" s="72">
        <v>164</v>
      </c>
      <c r="AB164" s="72"/>
      <c r="AC164" s="73"/>
      <c r="AD164" s="80" t="s">
        <v>1069</v>
      </c>
      <c r="AE164" s="80"/>
      <c r="AF164" s="80"/>
      <c r="AG164" s="80"/>
      <c r="AH164" s="80"/>
      <c r="AI164" s="80" t="s">
        <v>1427</v>
      </c>
      <c r="AJ164" s="84">
        <v>43947.79586805555</v>
      </c>
      <c r="AK164" s="82" t="str">
        <f>HYPERLINK("https://yt3.ggpht.com/a/AATXAJy-GjDT1a2BMtie9g8OozQ8vVH70up6EuWd_g=s88-c-k-c0xffffffff-no-rj-mo")</f>
        <v>https://yt3.ggpht.com/a/AATXAJy-GjDT1a2BMtie9g8OozQ8vVH70up6EuWd_g=s88-c-k-c0xffffffff-no-rj-mo</v>
      </c>
      <c r="AL164" s="80">
        <v>9807</v>
      </c>
      <c r="AM164" s="80">
        <v>0</v>
      </c>
      <c r="AN164" s="80">
        <v>385</v>
      </c>
      <c r="AO164" s="80" t="b">
        <v>0</v>
      </c>
      <c r="AP164" s="80">
        <v>21</v>
      </c>
      <c r="AQ164" s="80"/>
      <c r="AR164" s="80"/>
      <c r="AS164" s="80" t="s">
        <v>230</v>
      </c>
      <c r="AT164" s="82" t="str">
        <f>HYPERLINK("https://www.youtube.com/channel/UC_aZP9TYHfca8CcFbfUA0IA")</f>
        <v>https://www.youtube.com/channel/UC_aZP9TYHfca8CcFbfUA0IA</v>
      </c>
      <c r="AU164" s="79" t="str">
        <f>REPLACE(INDEX(GroupVertices[Group],MATCH(Vertices[[#This Row],[Vertex]],GroupVertices[Vertex],0)),1,1,"")</f>
        <v>14</v>
      </c>
      <c r="AV164" s="48"/>
      <c r="AW164" s="49"/>
      <c r="AX164" s="48"/>
      <c r="AY164" s="49"/>
      <c r="AZ164" s="48"/>
      <c r="BA164" s="49"/>
      <c r="BB164" s="48"/>
      <c r="BC164" s="49"/>
      <c r="BD164" s="48"/>
      <c r="BE164" s="120" t="s">
        <v>408</v>
      </c>
      <c r="BF164" s="120" t="s">
        <v>408</v>
      </c>
      <c r="BG164" s="120" t="s">
        <v>408</v>
      </c>
      <c r="BH164" s="120" t="s">
        <v>408</v>
      </c>
      <c r="BI164" s="2"/>
      <c r="BJ164" s="3"/>
      <c r="BK164" s="3"/>
      <c r="BL164" s="3"/>
      <c r="BM164" s="3"/>
    </row>
    <row r="165" spans="1:65" ht="15">
      <c r="A165" s="65" t="s">
        <v>608</v>
      </c>
      <c r="B165" s="66"/>
      <c r="C165" s="66"/>
      <c r="D165" s="67">
        <v>466.6666666666667</v>
      </c>
      <c r="E165" s="127"/>
      <c r="F165" s="98" t="str">
        <f>HYPERLINK("https://yt3.ggpht.com/a/AATXAJxtYgc_Y9BIueGsBs20xwYtpFvup7_bLsc_lg=s88-c-k-c0xffffffff-no-rj-mo")</f>
        <v>https://yt3.ggpht.com/a/AATXAJxtYgc_Y9BIueGsBs20xwYtpFvup7_bLsc_lg=s88-c-k-c0xffffffff-no-rj-mo</v>
      </c>
      <c r="G165" s="128"/>
      <c r="H165" s="70" t="s">
        <v>1070</v>
      </c>
      <c r="I165" s="71"/>
      <c r="J165" s="129"/>
      <c r="K165" s="70" t="s">
        <v>1070</v>
      </c>
      <c r="L165" s="130">
        <v>323.51612903225805</v>
      </c>
      <c r="M165" s="75">
        <v>8044.408203125</v>
      </c>
      <c r="N165" s="75">
        <v>5040.98193359375</v>
      </c>
      <c r="O165" s="76"/>
      <c r="P165" s="77"/>
      <c r="Q165" s="77"/>
      <c r="R165" s="131"/>
      <c r="S165" s="48">
        <v>1</v>
      </c>
      <c r="T165" s="48">
        <v>1</v>
      </c>
      <c r="U165" s="49">
        <v>0</v>
      </c>
      <c r="V165" s="49">
        <v>0.2</v>
      </c>
      <c r="W165" s="49">
        <v>0</v>
      </c>
      <c r="X165" s="49">
        <v>0.693692</v>
      </c>
      <c r="Y165" s="49">
        <v>0</v>
      </c>
      <c r="Z165" s="49">
        <v>1</v>
      </c>
      <c r="AA165" s="72">
        <v>165</v>
      </c>
      <c r="AB165" s="72"/>
      <c r="AC165" s="73"/>
      <c r="AD165" s="80" t="s">
        <v>1070</v>
      </c>
      <c r="AE165" s="80"/>
      <c r="AF165" s="80"/>
      <c r="AG165" s="80"/>
      <c r="AH165" s="80"/>
      <c r="AI165" s="80"/>
      <c r="AJ165" s="84">
        <v>42161.434212962966</v>
      </c>
      <c r="AK165" s="82" t="str">
        <f>HYPERLINK("https://yt3.ggpht.com/a/AATXAJxtYgc_Y9BIueGsBs20xwYtpFvup7_bLsc_lg=s88-c-k-c0xffffffff-no-rj-mo")</f>
        <v>https://yt3.ggpht.com/a/AATXAJxtYgc_Y9BIueGsBs20xwYtpFvup7_bLsc_lg=s88-c-k-c0xffffffff-no-rj-mo</v>
      </c>
      <c r="AL165" s="80">
        <v>0</v>
      </c>
      <c r="AM165" s="80">
        <v>0</v>
      </c>
      <c r="AN165" s="80">
        <v>0</v>
      </c>
      <c r="AO165" s="80" t="b">
        <v>0</v>
      </c>
      <c r="AP165" s="80">
        <v>0</v>
      </c>
      <c r="AQ165" s="80"/>
      <c r="AR165" s="80"/>
      <c r="AS165" s="80" t="s">
        <v>230</v>
      </c>
      <c r="AT165" s="82" t="str">
        <f>HYPERLINK("https://www.youtube.com/channel/UC70Td9kbF118tADiFc4j9JQ")</f>
        <v>https://www.youtube.com/channel/UC70Td9kbF118tADiFc4j9JQ</v>
      </c>
      <c r="AU165" s="79" t="str">
        <f>REPLACE(INDEX(GroupVertices[Group],MATCH(Vertices[[#This Row],[Vertex]],GroupVertices[Vertex],0)),1,1,"")</f>
        <v>14</v>
      </c>
      <c r="AV165" s="48"/>
      <c r="AW165" s="49"/>
      <c r="AX165" s="48"/>
      <c r="AY165" s="49"/>
      <c r="AZ165" s="48"/>
      <c r="BA165" s="49"/>
      <c r="BB165" s="48"/>
      <c r="BC165" s="49"/>
      <c r="BD165" s="48"/>
      <c r="BE165" s="120" t="s">
        <v>408</v>
      </c>
      <c r="BF165" s="120" t="s">
        <v>408</v>
      </c>
      <c r="BG165" s="120" t="s">
        <v>408</v>
      </c>
      <c r="BH165" s="120" t="s">
        <v>408</v>
      </c>
      <c r="BI165" s="2"/>
      <c r="BJ165" s="3"/>
      <c r="BK165" s="3"/>
      <c r="BL165" s="3"/>
      <c r="BM165" s="3"/>
    </row>
    <row r="166" spans="1:65" ht="15">
      <c r="A166" s="65" t="s">
        <v>609</v>
      </c>
      <c r="B166" s="66"/>
      <c r="C166" s="66"/>
      <c r="D166" s="67">
        <v>466.6666666666667</v>
      </c>
      <c r="E166" s="127"/>
      <c r="F166" s="98" t="str">
        <f>HYPERLINK("https://yt3.ggpht.com/a/AATXAJxqC-c6f5hS9DZHCUednR7eYXjaWNaCgBLrew=s88-c-k-c0xffffffff-no-rj-mo")</f>
        <v>https://yt3.ggpht.com/a/AATXAJxqC-c6f5hS9DZHCUednR7eYXjaWNaCgBLrew=s88-c-k-c0xffffffff-no-rj-mo</v>
      </c>
      <c r="G166" s="128"/>
      <c r="H166" s="70" t="s">
        <v>1071</v>
      </c>
      <c r="I166" s="71"/>
      <c r="J166" s="129"/>
      <c r="K166" s="70" t="s">
        <v>1071</v>
      </c>
      <c r="L166" s="130">
        <v>323.51612903225805</v>
      </c>
      <c r="M166" s="75">
        <v>9028.3525390625</v>
      </c>
      <c r="N166" s="75">
        <v>5433.3408203125</v>
      </c>
      <c r="O166" s="76"/>
      <c r="P166" s="77"/>
      <c r="Q166" s="77"/>
      <c r="R166" s="131"/>
      <c r="S166" s="48">
        <v>1</v>
      </c>
      <c r="T166" s="48">
        <v>1</v>
      </c>
      <c r="U166" s="49">
        <v>0</v>
      </c>
      <c r="V166" s="49">
        <v>0.2</v>
      </c>
      <c r="W166" s="49">
        <v>0</v>
      </c>
      <c r="X166" s="49">
        <v>0.693692</v>
      </c>
      <c r="Y166" s="49">
        <v>0</v>
      </c>
      <c r="Z166" s="49">
        <v>1</v>
      </c>
      <c r="AA166" s="72">
        <v>166</v>
      </c>
      <c r="AB166" s="72"/>
      <c r="AC166" s="73"/>
      <c r="AD166" s="80" t="s">
        <v>1071</v>
      </c>
      <c r="AE166" s="80"/>
      <c r="AF166" s="80"/>
      <c r="AG166" s="80"/>
      <c r="AH166" s="80"/>
      <c r="AI166" s="80"/>
      <c r="AJ166" s="84">
        <v>43877.436111111114</v>
      </c>
      <c r="AK166" s="82" t="str">
        <f>HYPERLINK("https://yt3.ggpht.com/a/AATXAJxqC-c6f5hS9DZHCUednR7eYXjaWNaCgBLrew=s88-c-k-c0xffffffff-no-rj-mo")</f>
        <v>https://yt3.ggpht.com/a/AATXAJxqC-c6f5hS9DZHCUednR7eYXjaWNaCgBLrew=s88-c-k-c0xffffffff-no-rj-mo</v>
      </c>
      <c r="AL166" s="80">
        <v>98</v>
      </c>
      <c r="AM166" s="80">
        <v>0</v>
      </c>
      <c r="AN166" s="80">
        <v>3</v>
      </c>
      <c r="AO166" s="80" t="b">
        <v>0</v>
      </c>
      <c r="AP166" s="80">
        <v>5</v>
      </c>
      <c r="AQ166" s="80"/>
      <c r="AR166" s="80"/>
      <c r="AS166" s="80" t="s">
        <v>230</v>
      </c>
      <c r="AT166" s="82" t="str">
        <f>HYPERLINK("https://www.youtube.com/channel/UCgUsJ_7Jude6q6_9B_0P4kA")</f>
        <v>https://www.youtube.com/channel/UCgUsJ_7Jude6q6_9B_0P4kA</v>
      </c>
      <c r="AU166" s="79" t="str">
        <f>REPLACE(INDEX(GroupVertices[Group],MATCH(Vertices[[#This Row],[Vertex]],GroupVertices[Vertex],0)),1,1,"")</f>
        <v>14</v>
      </c>
      <c r="AV166" s="48"/>
      <c r="AW166" s="49"/>
      <c r="AX166" s="48"/>
      <c r="AY166" s="49"/>
      <c r="AZ166" s="48"/>
      <c r="BA166" s="49"/>
      <c r="BB166" s="48"/>
      <c r="BC166" s="49"/>
      <c r="BD166" s="48"/>
      <c r="BE166" s="120" t="s">
        <v>408</v>
      </c>
      <c r="BF166" s="120" t="s">
        <v>408</v>
      </c>
      <c r="BG166" s="120" t="s">
        <v>408</v>
      </c>
      <c r="BH166" s="120" t="s">
        <v>408</v>
      </c>
      <c r="BI166" s="2"/>
      <c r="BJ166" s="3"/>
      <c r="BK166" s="3"/>
      <c r="BL166" s="3"/>
      <c r="BM166" s="3"/>
    </row>
    <row r="167" spans="1:65" ht="15">
      <c r="A167" s="65" t="s">
        <v>610</v>
      </c>
      <c r="B167" s="66"/>
      <c r="C167" s="66"/>
      <c r="D167" s="67">
        <v>466.6666666666667</v>
      </c>
      <c r="E167" s="127"/>
      <c r="F167" s="98" t="str">
        <f>HYPERLINK("https://yt3.ggpht.com/a/AATXAJxLfJ53xyfxOoeVDi92Q55p7ISZrYFBILBM-Q=s88-c-k-c0xffffffff-no-rj-mo")</f>
        <v>https://yt3.ggpht.com/a/AATXAJxLfJ53xyfxOoeVDi92Q55p7ISZrYFBILBM-Q=s88-c-k-c0xffffffff-no-rj-mo</v>
      </c>
      <c r="G167" s="128"/>
      <c r="H167" s="70" t="s">
        <v>1072</v>
      </c>
      <c r="I167" s="71"/>
      <c r="J167" s="129"/>
      <c r="K167" s="70" t="s">
        <v>1072</v>
      </c>
      <c r="L167" s="130">
        <v>323.51612903225805</v>
      </c>
      <c r="M167" s="75">
        <v>8760.611328125</v>
      </c>
      <c r="N167" s="75">
        <v>3945.886474609375</v>
      </c>
      <c r="O167" s="76"/>
      <c r="P167" s="77"/>
      <c r="Q167" s="77"/>
      <c r="R167" s="131"/>
      <c r="S167" s="48">
        <v>1</v>
      </c>
      <c r="T167" s="48">
        <v>1</v>
      </c>
      <c r="U167" s="49">
        <v>0</v>
      </c>
      <c r="V167" s="49">
        <v>0.2</v>
      </c>
      <c r="W167" s="49">
        <v>0</v>
      </c>
      <c r="X167" s="49">
        <v>0.693692</v>
      </c>
      <c r="Y167" s="49">
        <v>0</v>
      </c>
      <c r="Z167" s="49">
        <v>1</v>
      </c>
      <c r="AA167" s="72">
        <v>167</v>
      </c>
      <c r="AB167" s="72"/>
      <c r="AC167" s="73"/>
      <c r="AD167" s="80" t="s">
        <v>1072</v>
      </c>
      <c r="AE167" s="80"/>
      <c r="AF167" s="80"/>
      <c r="AG167" s="80"/>
      <c r="AH167" s="80"/>
      <c r="AI167" s="80"/>
      <c r="AJ167" s="84">
        <v>41497.880636574075</v>
      </c>
      <c r="AK167" s="82" t="str">
        <f>HYPERLINK("https://yt3.ggpht.com/a/AATXAJxLfJ53xyfxOoeVDi92Q55p7ISZrYFBILBM-Q=s88-c-k-c0xffffffff-no-rj-mo")</f>
        <v>https://yt3.ggpht.com/a/AATXAJxLfJ53xyfxOoeVDi92Q55p7ISZrYFBILBM-Q=s88-c-k-c0xffffffff-no-rj-mo</v>
      </c>
      <c r="AL167" s="80">
        <v>0</v>
      </c>
      <c r="AM167" s="80">
        <v>0</v>
      </c>
      <c r="AN167" s="80">
        <v>0</v>
      </c>
      <c r="AO167" s="80" t="b">
        <v>0</v>
      </c>
      <c r="AP167" s="80">
        <v>0</v>
      </c>
      <c r="AQ167" s="80"/>
      <c r="AR167" s="80"/>
      <c r="AS167" s="80" t="s">
        <v>230</v>
      </c>
      <c r="AT167" s="82" t="str">
        <f>HYPERLINK("https://www.youtube.com/channel/UCh4IcDwtnBwbxUQMRwrWZaA")</f>
        <v>https://www.youtube.com/channel/UCh4IcDwtnBwbxUQMRwrWZaA</v>
      </c>
      <c r="AU167" s="79" t="str">
        <f>REPLACE(INDEX(GroupVertices[Group],MATCH(Vertices[[#This Row],[Vertex]],GroupVertices[Vertex],0)),1,1,"")</f>
        <v>14</v>
      </c>
      <c r="AV167" s="48"/>
      <c r="AW167" s="49"/>
      <c r="AX167" s="48"/>
      <c r="AY167" s="49"/>
      <c r="AZ167" s="48"/>
      <c r="BA167" s="49"/>
      <c r="BB167" s="48"/>
      <c r="BC167" s="49"/>
      <c r="BD167" s="48"/>
      <c r="BE167" s="120" t="s">
        <v>408</v>
      </c>
      <c r="BF167" s="120" t="s">
        <v>408</v>
      </c>
      <c r="BG167" s="120" t="s">
        <v>408</v>
      </c>
      <c r="BH167" s="120" t="s">
        <v>408</v>
      </c>
      <c r="BI167" s="2"/>
      <c r="BJ167" s="3"/>
      <c r="BK167" s="3"/>
      <c r="BL167" s="3"/>
      <c r="BM167" s="3"/>
    </row>
    <row r="168" spans="1:65" ht="15">
      <c r="A168" s="65" t="s">
        <v>1297</v>
      </c>
      <c r="B168" s="66"/>
      <c r="C168" s="66"/>
      <c r="D168" s="67">
        <v>200</v>
      </c>
      <c r="E168" s="127"/>
      <c r="F168" s="98" t="str">
        <f>HYPERLINK("https://yt3.ggpht.com/a/AATXAJybnsb9tDOCZWwXfcacqinmYHe7mRgfHcf4=s88-c-k-c0xffffffff-no-rj-mo")</f>
        <v>https://yt3.ggpht.com/a/AATXAJybnsb9tDOCZWwXfcacqinmYHe7mRgfHcf4=s88-c-k-c0xffffffff-no-rj-mo</v>
      </c>
      <c r="G168" s="128" t="s">
        <v>51</v>
      </c>
      <c r="H168" s="70" t="s">
        <v>1299</v>
      </c>
      <c r="I168" s="71"/>
      <c r="J168" s="129"/>
      <c r="K168" s="70" t="s">
        <v>1299</v>
      </c>
      <c r="L168" s="130">
        <v>1</v>
      </c>
      <c r="M168" s="75">
        <v>411.08477783203125</v>
      </c>
      <c r="N168" s="75">
        <v>6551.8828125</v>
      </c>
      <c r="O168" s="76"/>
      <c r="P168" s="77"/>
      <c r="Q168" s="77"/>
      <c r="R168" s="131"/>
      <c r="S168" s="48">
        <v>0</v>
      </c>
      <c r="T168" s="48">
        <v>0</v>
      </c>
      <c r="U168" s="49">
        <v>0</v>
      </c>
      <c r="V168" s="49">
        <v>0</v>
      </c>
      <c r="W168" s="49">
        <v>0</v>
      </c>
      <c r="X168" s="49">
        <v>0</v>
      </c>
      <c r="Y168" s="49">
        <v>0</v>
      </c>
      <c r="Z168" s="49">
        <v>0</v>
      </c>
      <c r="AA168" s="72">
        <v>168</v>
      </c>
      <c r="AB168" s="72"/>
      <c r="AC168" s="73"/>
      <c r="AD168" s="80" t="s">
        <v>1299</v>
      </c>
      <c r="AE168" s="80" t="s">
        <v>1369</v>
      </c>
      <c r="AF168" s="80"/>
      <c r="AG168" s="80"/>
      <c r="AH168" s="80"/>
      <c r="AI168" s="80" t="s">
        <v>1428</v>
      </c>
      <c r="AJ168" s="84">
        <v>42878.41504629629</v>
      </c>
      <c r="AK168" s="82" t="str">
        <f>HYPERLINK("https://yt3.ggpht.com/a/AATXAJybnsb9tDOCZWwXfcacqinmYHe7mRgfHcf4=s88-c-k-c0xffffffff-no-rj-mo")</f>
        <v>https://yt3.ggpht.com/a/AATXAJybnsb9tDOCZWwXfcacqinmYHe7mRgfHcf4=s88-c-k-c0xffffffff-no-rj-mo</v>
      </c>
      <c r="AL168" s="80">
        <v>1255775</v>
      </c>
      <c r="AM168" s="80">
        <v>0</v>
      </c>
      <c r="AN168" s="80">
        <v>21900</v>
      </c>
      <c r="AO168" s="80" t="b">
        <v>0</v>
      </c>
      <c r="AP168" s="80">
        <v>116</v>
      </c>
      <c r="AQ168" s="80"/>
      <c r="AR168" s="80"/>
      <c r="AS168" s="80" t="s">
        <v>230</v>
      </c>
      <c r="AT168" s="82" t="str">
        <f>HYPERLINK("https://www.youtube.com/channel/UCk8mTJ3mxP9Enl1hAVut32w")</f>
        <v>https://www.youtube.com/channel/UCk8mTJ3mxP9Enl1hAVut32w</v>
      </c>
      <c r="AU168" s="79" t="str">
        <f>REPLACE(INDEX(GroupVertices[Group],MATCH(Vertices[[#This Row],[Vertex]],GroupVertices[Vertex],0)),1,1,"")</f>
        <v>1</v>
      </c>
      <c r="AV168" s="48">
        <v>2</v>
      </c>
      <c r="AW168" s="49">
        <v>1.4184397163120568</v>
      </c>
      <c r="AX168" s="48">
        <v>2</v>
      </c>
      <c r="AY168" s="49">
        <v>1.4184397163120568</v>
      </c>
      <c r="AZ168" s="48">
        <v>0</v>
      </c>
      <c r="BA168" s="49">
        <v>0</v>
      </c>
      <c r="BB168" s="48">
        <v>137</v>
      </c>
      <c r="BC168" s="49">
        <v>97.16312056737588</v>
      </c>
      <c r="BD168" s="48">
        <v>141</v>
      </c>
      <c r="BE168" s="48"/>
      <c r="BF168" s="48"/>
      <c r="BG168" s="48"/>
      <c r="BH168" s="48"/>
      <c r="BI168" s="2"/>
      <c r="BJ168" s="3"/>
      <c r="BK168" s="3"/>
      <c r="BL168" s="3"/>
      <c r="BM168" s="3"/>
    </row>
    <row r="169" spans="1:65" ht="15">
      <c r="A169" s="65" t="s">
        <v>1261</v>
      </c>
      <c r="B169" s="66"/>
      <c r="C169" s="66"/>
      <c r="D169" s="67">
        <v>200</v>
      </c>
      <c r="E169" s="127"/>
      <c r="F169" s="98" t="str">
        <f>HYPERLINK("https://yt3.ggpht.com/a/AATXAJyX9v_KSUJIL35RHyRjQkvNzhe7sXVhuaI8Bg=s88-c-k-c0xffffffff-no-rj-mo")</f>
        <v>https://yt3.ggpht.com/a/AATXAJyX9v_KSUJIL35RHyRjQkvNzhe7sXVhuaI8Bg=s88-c-k-c0xffffffff-no-rj-mo</v>
      </c>
      <c r="G169" s="128" t="s">
        <v>51</v>
      </c>
      <c r="H169" s="70" t="s">
        <v>1300</v>
      </c>
      <c r="I169" s="71"/>
      <c r="J169" s="129"/>
      <c r="K169" s="70" t="s">
        <v>1300</v>
      </c>
      <c r="L169" s="130">
        <v>1</v>
      </c>
      <c r="M169" s="75">
        <v>2079.801025390625</v>
      </c>
      <c r="N169" s="75">
        <v>6551.8828125</v>
      </c>
      <c r="O169" s="76"/>
      <c r="P169" s="77"/>
      <c r="Q169" s="77"/>
      <c r="R169" s="131"/>
      <c r="S169" s="48">
        <v>0</v>
      </c>
      <c r="T169" s="48">
        <v>0</v>
      </c>
      <c r="U169" s="49">
        <v>0</v>
      </c>
      <c r="V169" s="49">
        <v>0</v>
      </c>
      <c r="W169" s="49">
        <v>0</v>
      </c>
      <c r="X169" s="49">
        <v>0</v>
      </c>
      <c r="Y169" s="49">
        <v>0</v>
      </c>
      <c r="Z169" s="49">
        <v>0</v>
      </c>
      <c r="AA169" s="72">
        <v>169</v>
      </c>
      <c r="AB169" s="72"/>
      <c r="AC169" s="73"/>
      <c r="AD169" s="80" t="s">
        <v>1300</v>
      </c>
      <c r="AE169" s="80"/>
      <c r="AF169" s="80"/>
      <c r="AG169" s="80"/>
      <c r="AH169" s="80"/>
      <c r="AI169" s="80" t="s">
        <v>1429</v>
      </c>
      <c r="AJ169" s="84">
        <v>43111.80268518518</v>
      </c>
      <c r="AK169" s="82" t="str">
        <f>HYPERLINK("https://yt3.ggpht.com/a/AATXAJyX9v_KSUJIL35RHyRjQkvNzhe7sXVhuaI8Bg=s88-c-k-c0xffffffff-no-rj-mo")</f>
        <v>https://yt3.ggpht.com/a/AATXAJyX9v_KSUJIL35RHyRjQkvNzhe7sXVhuaI8Bg=s88-c-k-c0xffffffff-no-rj-mo</v>
      </c>
      <c r="AL169" s="80">
        <v>319549</v>
      </c>
      <c r="AM169" s="80">
        <v>0</v>
      </c>
      <c r="AN169" s="80">
        <v>11300</v>
      </c>
      <c r="AO169" s="80" t="b">
        <v>0</v>
      </c>
      <c r="AP169" s="80">
        <v>80</v>
      </c>
      <c r="AQ169" s="80"/>
      <c r="AR169" s="80"/>
      <c r="AS169" s="80" t="s">
        <v>230</v>
      </c>
      <c r="AT169" s="82" t="str">
        <f>HYPERLINK("https://www.youtube.com/channel/UCn4Y0Ej7Vu3rO84e_aD28lg")</f>
        <v>https://www.youtube.com/channel/UCn4Y0Ej7Vu3rO84e_aD28lg</v>
      </c>
      <c r="AU169" s="79" t="str">
        <f>REPLACE(INDEX(GroupVertices[Group],MATCH(Vertices[[#This Row],[Vertex]],GroupVertices[Vertex],0)),1,1,"")</f>
        <v>1</v>
      </c>
      <c r="AV169" s="48"/>
      <c r="AW169" s="49"/>
      <c r="AX169" s="48"/>
      <c r="AY169" s="49"/>
      <c r="AZ169" s="48"/>
      <c r="BA169" s="49"/>
      <c r="BB169" s="48"/>
      <c r="BC169" s="49"/>
      <c r="BD169" s="48"/>
      <c r="BE169" s="48"/>
      <c r="BF169" s="48"/>
      <c r="BG169" s="48"/>
      <c r="BH169" s="48"/>
      <c r="BI169" s="2"/>
      <c r="BJ169" s="3"/>
      <c r="BK169" s="3"/>
      <c r="BL169" s="3"/>
      <c r="BM169" s="3"/>
    </row>
    <row r="170" spans="1:65" ht="15">
      <c r="A170" s="65" t="s">
        <v>1262</v>
      </c>
      <c r="B170" s="66"/>
      <c r="C170" s="66"/>
      <c r="D170" s="67">
        <v>200</v>
      </c>
      <c r="E170" s="127"/>
      <c r="F170" s="98" t="str">
        <f>HYPERLINK("https://yt3.ggpht.com/a/AATXAJwIN5v8Vt2cqLD5sVPL8A2rv5igunanqvwyyw=s88-c-k-c0xffffffff-no-rj-mo")</f>
        <v>https://yt3.ggpht.com/a/AATXAJwIN5v8Vt2cqLD5sVPL8A2rv5igunanqvwyyw=s88-c-k-c0xffffffff-no-rj-mo</v>
      </c>
      <c r="G170" s="128" t="s">
        <v>51</v>
      </c>
      <c r="H170" s="70" t="s">
        <v>1301</v>
      </c>
      <c r="I170" s="71"/>
      <c r="J170" s="129"/>
      <c r="K170" s="70" t="s">
        <v>1301</v>
      </c>
      <c r="L170" s="130">
        <v>1</v>
      </c>
      <c r="M170" s="75">
        <v>1523.562255859375</v>
      </c>
      <c r="N170" s="75">
        <v>6551.8828125</v>
      </c>
      <c r="O170" s="76"/>
      <c r="P170" s="77"/>
      <c r="Q170" s="77"/>
      <c r="R170" s="131"/>
      <c r="S170" s="48">
        <v>0</v>
      </c>
      <c r="T170" s="48">
        <v>0</v>
      </c>
      <c r="U170" s="49">
        <v>0</v>
      </c>
      <c r="V170" s="49">
        <v>0</v>
      </c>
      <c r="W170" s="49">
        <v>0</v>
      </c>
      <c r="X170" s="49">
        <v>0</v>
      </c>
      <c r="Y170" s="49">
        <v>0</v>
      </c>
      <c r="Z170" s="49">
        <v>0</v>
      </c>
      <c r="AA170" s="72">
        <v>170</v>
      </c>
      <c r="AB170" s="72"/>
      <c r="AC170" s="73"/>
      <c r="AD170" s="80" t="s">
        <v>1301</v>
      </c>
      <c r="AE170" s="80" t="s">
        <v>1370</v>
      </c>
      <c r="AF170" s="80"/>
      <c r="AG170" s="80"/>
      <c r="AH170" s="80"/>
      <c r="AI170" s="80"/>
      <c r="AJ170" s="84">
        <v>40929.5105787037</v>
      </c>
      <c r="AK170" s="82" t="str">
        <f>HYPERLINK("https://yt3.ggpht.com/a/AATXAJwIN5v8Vt2cqLD5sVPL8A2rv5igunanqvwyyw=s88-c-k-c0xffffffff-no-rj-mo")</f>
        <v>https://yt3.ggpht.com/a/AATXAJwIN5v8Vt2cqLD5sVPL8A2rv5igunanqvwyyw=s88-c-k-c0xffffffff-no-rj-mo</v>
      </c>
      <c r="AL170" s="80">
        <v>272995</v>
      </c>
      <c r="AM170" s="80">
        <v>0</v>
      </c>
      <c r="AN170" s="80">
        <v>1770</v>
      </c>
      <c r="AO170" s="80" t="b">
        <v>0</v>
      </c>
      <c r="AP170" s="80">
        <v>106</v>
      </c>
      <c r="AQ170" s="80"/>
      <c r="AR170" s="80"/>
      <c r="AS170" s="80" t="s">
        <v>230</v>
      </c>
      <c r="AT170" s="82" t="str">
        <f>HYPERLINK("https://www.youtube.com/channel/UCfKlAQp4wC_pRpYt7clm70Q")</f>
        <v>https://www.youtube.com/channel/UCfKlAQp4wC_pRpYt7clm70Q</v>
      </c>
      <c r="AU170" s="79" t="str">
        <f>REPLACE(INDEX(GroupVertices[Group],MATCH(Vertices[[#This Row],[Vertex]],GroupVertices[Vertex],0)),1,1,"")</f>
        <v>1</v>
      </c>
      <c r="AV170" s="48">
        <v>1</v>
      </c>
      <c r="AW170" s="49">
        <v>7.142857142857143</v>
      </c>
      <c r="AX170" s="48">
        <v>0</v>
      </c>
      <c r="AY170" s="49">
        <v>0</v>
      </c>
      <c r="AZ170" s="48">
        <v>0</v>
      </c>
      <c r="BA170" s="49">
        <v>0</v>
      </c>
      <c r="BB170" s="48">
        <v>13</v>
      </c>
      <c r="BC170" s="49">
        <v>92.85714285714286</v>
      </c>
      <c r="BD170" s="48">
        <v>14</v>
      </c>
      <c r="BE170" s="48"/>
      <c r="BF170" s="48"/>
      <c r="BG170" s="48"/>
      <c r="BH170" s="48"/>
      <c r="BI170" s="2"/>
      <c r="BJ170" s="3"/>
      <c r="BK170" s="3"/>
      <c r="BL170" s="3"/>
      <c r="BM170" s="3"/>
    </row>
    <row r="171" spans="1:65" ht="15">
      <c r="A171" s="65" t="s">
        <v>1263</v>
      </c>
      <c r="B171" s="66"/>
      <c r="C171" s="66"/>
      <c r="D171" s="67">
        <v>200</v>
      </c>
      <c r="E171" s="127"/>
      <c r="F171" s="98" t="str">
        <f>HYPERLINK("https://yt3.ggpht.com/a/AATXAJwZPSgtRl3dfEzn_jANZkKJB40_06jnBZnSgyCfVg=s88-c-k-c0xffffffff-no-rj-mo")</f>
        <v>https://yt3.ggpht.com/a/AATXAJwZPSgtRl3dfEzn_jANZkKJB40_06jnBZnSgyCfVg=s88-c-k-c0xffffffff-no-rj-mo</v>
      </c>
      <c r="G171" s="128" t="s">
        <v>51</v>
      </c>
      <c r="H171" s="70" t="s">
        <v>1302</v>
      </c>
      <c r="I171" s="71"/>
      <c r="J171" s="129"/>
      <c r="K171" s="70" t="s">
        <v>1302</v>
      </c>
      <c r="L171" s="130">
        <v>1</v>
      </c>
      <c r="M171" s="75">
        <v>3192.278076171875</v>
      </c>
      <c r="N171" s="75">
        <v>7272</v>
      </c>
      <c r="O171" s="76"/>
      <c r="P171" s="77"/>
      <c r="Q171" s="77"/>
      <c r="R171" s="131"/>
      <c r="S171" s="48">
        <v>0</v>
      </c>
      <c r="T171" s="48">
        <v>0</v>
      </c>
      <c r="U171" s="49">
        <v>0</v>
      </c>
      <c r="V171" s="49">
        <v>0</v>
      </c>
      <c r="W171" s="49">
        <v>0</v>
      </c>
      <c r="X171" s="49">
        <v>0</v>
      </c>
      <c r="Y171" s="49">
        <v>0</v>
      </c>
      <c r="Z171" s="49">
        <v>0</v>
      </c>
      <c r="AA171" s="72">
        <v>171</v>
      </c>
      <c r="AB171" s="72"/>
      <c r="AC171" s="73"/>
      <c r="AD171" s="80" t="s">
        <v>1302</v>
      </c>
      <c r="AE171" s="80" t="s">
        <v>1371</v>
      </c>
      <c r="AF171" s="80"/>
      <c r="AG171" s="80"/>
      <c r="AH171" s="80"/>
      <c r="AI171" s="80" t="s">
        <v>1430</v>
      </c>
      <c r="AJ171" s="84">
        <v>41347.1544212963</v>
      </c>
      <c r="AK171" s="82" t="str">
        <f>HYPERLINK("https://yt3.ggpht.com/a/AATXAJwZPSgtRl3dfEzn_jANZkKJB40_06jnBZnSgyCfVg=s88-c-k-c0xffffffff-no-rj-mo")</f>
        <v>https://yt3.ggpht.com/a/AATXAJwZPSgtRl3dfEzn_jANZkKJB40_06jnBZnSgyCfVg=s88-c-k-c0xffffffff-no-rj-mo</v>
      </c>
      <c r="AL171" s="80">
        <v>1408133</v>
      </c>
      <c r="AM171" s="80">
        <v>0</v>
      </c>
      <c r="AN171" s="80">
        <v>6040</v>
      </c>
      <c r="AO171" s="80" t="b">
        <v>0</v>
      </c>
      <c r="AP171" s="80">
        <v>389</v>
      </c>
      <c r="AQ171" s="80"/>
      <c r="AR171" s="80"/>
      <c r="AS171" s="80" t="s">
        <v>230</v>
      </c>
      <c r="AT171" s="82" t="str">
        <f>HYPERLINK("https://www.youtube.com/channel/UCr-BhlXQxZnRNoVxrLj2tOA")</f>
        <v>https://www.youtube.com/channel/UCr-BhlXQxZnRNoVxrLj2tOA</v>
      </c>
      <c r="AU171" s="79" t="str">
        <f>REPLACE(INDEX(GroupVertices[Group],MATCH(Vertices[[#This Row],[Vertex]],GroupVertices[Vertex],0)),1,1,"")</f>
        <v>1</v>
      </c>
      <c r="AV171" s="48">
        <v>0</v>
      </c>
      <c r="AW171" s="49">
        <v>0</v>
      </c>
      <c r="AX171" s="48">
        <v>0</v>
      </c>
      <c r="AY171" s="49">
        <v>0</v>
      </c>
      <c r="AZ171" s="48">
        <v>0</v>
      </c>
      <c r="BA171" s="49">
        <v>0</v>
      </c>
      <c r="BB171" s="48">
        <v>3</v>
      </c>
      <c r="BC171" s="49">
        <v>100</v>
      </c>
      <c r="BD171" s="48">
        <v>3</v>
      </c>
      <c r="BE171" s="48"/>
      <c r="BF171" s="48"/>
      <c r="BG171" s="48"/>
      <c r="BH171" s="48"/>
      <c r="BI171" s="2"/>
      <c r="BJ171" s="3"/>
      <c r="BK171" s="3"/>
      <c r="BL171" s="3"/>
      <c r="BM171" s="3"/>
    </row>
    <row r="172" spans="1:65" ht="15">
      <c r="A172" s="65" t="s">
        <v>1264</v>
      </c>
      <c r="B172" s="66"/>
      <c r="C172" s="66"/>
      <c r="D172" s="67">
        <v>200</v>
      </c>
      <c r="E172" s="127"/>
      <c r="F172" s="98" t="str">
        <f>HYPERLINK("https://yt3.ggpht.com/a/AATXAJx1CqMtS1A0DPQoqP5EPY-QGIdNwO3Gn2S1GCsqTA=s88-c-k-c0xffffffff-no-rj-mo")</f>
        <v>https://yt3.ggpht.com/a/AATXAJx1CqMtS1A0DPQoqP5EPY-QGIdNwO3Gn2S1GCsqTA=s88-c-k-c0xffffffff-no-rj-mo</v>
      </c>
      <c r="G172" s="128" t="s">
        <v>51</v>
      </c>
      <c r="H172" s="70" t="s">
        <v>1303</v>
      </c>
      <c r="I172" s="71"/>
      <c r="J172" s="129"/>
      <c r="K172" s="70" t="s">
        <v>1303</v>
      </c>
      <c r="L172" s="130">
        <v>1</v>
      </c>
      <c r="M172" s="75">
        <v>1523.562255859375</v>
      </c>
      <c r="N172" s="75">
        <v>7272</v>
      </c>
      <c r="O172" s="76"/>
      <c r="P172" s="77"/>
      <c r="Q172" s="77"/>
      <c r="R172" s="131"/>
      <c r="S172" s="48">
        <v>0</v>
      </c>
      <c r="T172" s="48">
        <v>0</v>
      </c>
      <c r="U172" s="49">
        <v>0</v>
      </c>
      <c r="V172" s="49">
        <v>0</v>
      </c>
      <c r="W172" s="49">
        <v>0</v>
      </c>
      <c r="X172" s="49">
        <v>0</v>
      </c>
      <c r="Y172" s="49">
        <v>0</v>
      </c>
      <c r="Z172" s="49">
        <v>0</v>
      </c>
      <c r="AA172" s="72">
        <v>172</v>
      </c>
      <c r="AB172" s="72"/>
      <c r="AC172" s="73"/>
      <c r="AD172" s="80" t="s">
        <v>1303</v>
      </c>
      <c r="AE172" s="80" t="s">
        <v>1372</v>
      </c>
      <c r="AF172" s="80"/>
      <c r="AG172" s="80"/>
      <c r="AH172" s="80"/>
      <c r="AI172" s="80" t="s">
        <v>1431</v>
      </c>
      <c r="AJ172" s="84">
        <v>42257.13469907407</v>
      </c>
      <c r="AK172" s="82" t="str">
        <f>HYPERLINK("https://yt3.ggpht.com/a/AATXAJx1CqMtS1A0DPQoqP5EPY-QGIdNwO3Gn2S1GCsqTA=s88-c-k-c0xffffffff-no-rj-mo")</f>
        <v>https://yt3.ggpht.com/a/AATXAJx1CqMtS1A0DPQoqP5EPY-QGIdNwO3Gn2S1GCsqTA=s88-c-k-c0xffffffff-no-rj-mo</v>
      </c>
      <c r="AL172" s="80">
        <v>1014075</v>
      </c>
      <c r="AM172" s="80">
        <v>0</v>
      </c>
      <c r="AN172" s="80">
        <v>2760</v>
      </c>
      <c r="AO172" s="80" t="b">
        <v>0</v>
      </c>
      <c r="AP172" s="80">
        <v>449</v>
      </c>
      <c r="AQ172" s="80"/>
      <c r="AR172" s="80"/>
      <c r="AS172" s="80" t="s">
        <v>230</v>
      </c>
      <c r="AT172" s="82" t="str">
        <f>HYPERLINK("https://www.youtube.com/channel/UCYYHFZpm5GbaOmQKDNSTGLw")</f>
        <v>https://www.youtube.com/channel/UCYYHFZpm5GbaOmQKDNSTGLw</v>
      </c>
      <c r="AU172" s="79" t="str">
        <f>REPLACE(INDEX(GroupVertices[Group],MATCH(Vertices[[#This Row],[Vertex]],GroupVertices[Vertex],0)),1,1,"")</f>
        <v>1</v>
      </c>
      <c r="AV172" s="48">
        <v>2</v>
      </c>
      <c r="AW172" s="49">
        <v>4.444444444444445</v>
      </c>
      <c r="AX172" s="48">
        <v>0</v>
      </c>
      <c r="AY172" s="49">
        <v>0</v>
      </c>
      <c r="AZ172" s="48">
        <v>0</v>
      </c>
      <c r="BA172" s="49">
        <v>0</v>
      </c>
      <c r="BB172" s="48">
        <v>43</v>
      </c>
      <c r="BC172" s="49">
        <v>95.55555555555556</v>
      </c>
      <c r="BD172" s="48">
        <v>45</v>
      </c>
      <c r="BE172" s="48"/>
      <c r="BF172" s="48"/>
      <c r="BG172" s="48"/>
      <c r="BH172" s="48"/>
      <c r="BI172" s="2"/>
      <c r="BJ172" s="3"/>
      <c r="BK172" s="3"/>
      <c r="BL172" s="3"/>
      <c r="BM172" s="3"/>
    </row>
    <row r="173" spans="1:65" ht="15">
      <c r="A173" s="65" t="s">
        <v>1265</v>
      </c>
      <c r="B173" s="66"/>
      <c r="C173" s="66"/>
      <c r="D173" s="67">
        <v>200</v>
      </c>
      <c r="E173" s="127"/>
      <c r="F173" s="98" t="str">
        <f>HYPERLINK("https://yt3.ggpht.com/a/AATXAJwNoCNX_xOs-BGwtJ8GhpXkCnjLvfkZlO7wmnGY3A=s88-c-k-c0xffffffff-no-rj-mo")</f>
        <v>https://yt3.ggpht.com/a/AATXAJwNoCNX_xOs-BGwtJ8GhpXkCnjLvfkZlO7wmnGY3A=s88-c-k-c0xffffffff-no-rj-mo</v>
      </c>
      <c r="G173" s="128" t="s">
        <v>51</v>
      </c>
      <c r="H173" s="70" t="s">
        <v>1304</v>
      </c>
      <c r="I173" s="71"/>
      <c r="J173" s="129"/>
      <c r="K173" s="70" t="s">
        <v>1304</v>
      </c>
      <c r="L173" s="130">
        <v>1</v>
      </c>
      <c r="M173" s="75">
        <v>967.323486328125</v>
      </c>
      <c r="N173" s="75">
        <v>7272</v>
      </c>
      <c r="O173" s="76"/>
      <c r="P173" s="77"/>
      <c r="Q173" s="77"/>
      <c r="R173" s="131"/>
      <c r="S173" s="48">
        <v>0</v>
      </c>
      <c r="T173" s="48">
        <v>0</v>
      </c>
      <c r="U173" s="49">
        <v>0</v>
      </c>
      <c r="V173" s="49">
        <v>0</v>
      </c>
      <c r="W173" s="49">
        <v>0</v>
      </c>
      <c r="X173" s="49">
        <v>0</v>
      </c>
      <c r="Y173" s="49">
        <v>0</v>
      </c>
      <c r="Z173" s="49">
        <v>0</v>
      </c>
      <c r="AA173" s="72">
        <v>173</v>
      </c>
      <c r="AB173" s="72"/>
      <c r="AC173" s="73"/>
      <c r="AD173" s="80" t="s">
        <v>1304</v>
      </c>
      <c r="AE173" s="80" t="s">
        <v>1373</v>
      </c>
      <c r="AF173" s="80"/>
      <c r="AG173" s="80"/>
      <c r="AH173" s="80"/>
      <c r="AI173" s="80" t="s">
        <v>1432</v>
      </c>
      <c r="AJ173" s="84">
        <v>42677.9565625</v>
      </c>
      <c r="AK173" s="82" t="str">
        <f>HYPERLINK("https://yt3.ggpht.com/a/AATXAJwNoCNX_xOs-BGwtJ8GhpXkCnjLvfkZlO7wmnGY3A=s88-c-k-c0xffffffff-no-rj-mo")</f>
        <v>https://yt3.ggpht.com/a/AATXAJwNoCNX_xOs-BGwtJ8GhpXkCnjLvfkZlO7wmnGY3A=s88-c-k-c0xffffffff-no-rj-mo</v>
      </c>
      <c r="AL173" s="80">
        <v>8521253</v>
      </c>
      <c r="AM173" s="80">
        <v>0</v>
      </c>
      <c r="AN173" s="80">
        <v>312000</v>
      </c>
      <c r="AO173" s="80" t="b">
        <v>0</v>
      </c>
      <c r="AP173" s="80">
        <v>308</v>
      </c>
      <c r="AQ173" s="80"/>
      <c r="AR173" s="80"/>
      <c r="AS173" s="80" t="s">
        <v>230</v>
      </c>
      <c r="AT173" s="82" t="str">
        <f>HYPERLINK("https://www.youtube.com/channel/UCw0leRmeaX7R_9BDd3TvCzg")</f>
        <v>https://www.youtube.com/channel/UCw0leRmeaX7R_9BDd3TvCzg</v>
      </c>
      <c r="AU173" s="79" t="str">
        <f>REPLACE(INDEX(GroupVertices[Group],MATCH(Vertices[[#This Row],[Vertex]],GroupVertices[Vertex],0)),1,1,"")</f>
        <v>1</v>
      </c>
      <c r="AV173" s="48">
        <v>1</v>
      </c>
      <c r="AW173" s="49">
        <v>5.2631578947368425</v>
      </c>
      <c r="AX173" s="48">
        <v>0</v>
      </c>
      <c r="AY173" s="49">
        <v>0</v>
      </c>
      <c r="AZ173" s="48">
        <v>0</v>
      </c>
      <c r="BA173" s="49">
        <v>0</v>
      </c>
      <c r="BB173" s="48">
        <v>18</v>
      </c>
      <c r="BC173" s="49">
        <v>94.73684210526316</v>
      </c>
      <c r="BD173" s="48">
        <v>19</v>
      </c>
      <c r="BE173" s="48"/>
      <c r="BF173" s="48"/>
      <c r="BG173" s="48"/>
      <c r="BH173" s="48"/>
      <c r="BI173" s="2"/>
      <c r="BJ173" s="3"/>
      <c r="BK173" s="3"/>
      <c r="BL173" s="3"/>
      <c r="BM173" s="3"/>
    </row>
    <row r="174" spans="1:65" ht="15">
      <c r="A174" s="65" t="s">
        <v>1266</v>
      </c>
      <c r="B174" s="66"/>
      <c r="C174" s="66"/>
      <c r="D174" s="67">
        <v>200</v>
      </c>
      <c r="E174" s="127"/>
      <c r="F174" s="98" t="str">
        <f>HYPERLINK("https://yt3.ggpht.com/a/AATXAJwIf2Y_3jZSmADbQ8CVQ86YhoNYYx_ef1OB_g=s88-c-k-c0xffffffff-no-rj-mo")</f>
        <v>https://yt3.ggpht.com/a/AATXAJwIf2Y_3jZSmADbQ8CVQ86YhoNYYx_ef1OB_g=s88-c-k-c0xffffffff-no-rj-mo</v>
      </c>
      <c r="G174" s="128" t="s">
        <v>51</v>
      </c>
      <c r="H174" s="70" t="s">
        <v>1305</v>
      </c>
      <c r="I174" s="71"/>
      <c r="J174" s="129"/>
      <c r="K174" s="70" t="s">
        <v>1305</v>
      </c>
      <c r="L174" s="130">
        <v>1</v>
      </c>
      <c r="M174" s="75">
        <v>2636.03955078125</v>
      </c>
      <c r="N174" s="75">
        <v>7272</v>
      </c>
      <c r="O174" s="76"/>
      <c r="P174" s="77"/>
      <c r="Q174" s="77"/>
      <c r="R174" s="131"/>
      <c r="S174" s="48">
        <v>0</v>
      </c>
      <c r="T174" s="48">
        <v>0</v>
      </c>
      <c r="U174" s="49">
        <v>0</v>
      </c>
      <c r="V174" s="49">
        <v>0</v>
      </c>
      <c r="W174" s="49">
        <v>0</v>
      </c>
      <c r="X174" s="49">
        <v>0</v>
      </c>
      <c r="Y174" s="49">
        <v>0</v>
      </c>
      <c r="Z174" s="49">
        <v>0</v>
      </c>
      <c r="AA174" s="72">
        <v>174</v>
      </c>
      <c r="AB174" s="72"/>
      <c r="AC174" s="73"/>
      <c r="AD174" s="80" t="s">
        <v>1305</v>
      </c>
      <c r="AE174" s="80" t="s">
        <v>1374</v>
      </c>
      <c r="AF174" s="80"/>
      <c r="AG174" s="80"/>
      <c r="AH174" s="80"/>
      <c r="AI174" s="80"/>
      <c r="AJ174" s="84">
        <v>43712.7287037037</v>
      </c>
      <c r="AK174" s="82" t="str">
        <f>HYPERLINK("https://yt3.ggpht.com/a/AATXAJwIf2Y_3jZSmADbQ8CVQ86YhoNYYx_ef1OB_g=s88-c-k-c0xffffffff-no-rj-mo")</f>
        <v>https://yt3.ggpht.com/a/AATXAJwIf2Y_3jZSmADbQ8CVQ86YhoNYYx_ef1OB_g=s88-c-k-c0xffffffff-no-rj-mo</v>
      </c>
      <c r="AL174" s="80">
        <v>2152</v>
      </c>
      <c r="AM174" s="80">
        <v>0</v>
      </c>
      <c r="AN174" s="80">
        <v>68</v>
      </c>
      <c r="AO174" s="80" t="b">
        <v>0</v>
      </c>
      <c r="AP174" s="80">
        <v>11</v>
      </c>
      <c r="AQ174" s="80"/>
      <c r="AR174" s="80"/>
      <c r="AS174" s="80" t="s">
        <v>230</v>
      </c>
      <c r="AT174" s="82" t="str">
        <f>HYPERLINK("https://www.youtube.com/channel/UCfuI_wumLVgxvc8kFboJUzg")</f>
        <v>https://www.youtube.com/channel/UCfuI_wumLVgxvc8kFboJUzg</v>
      </c>
      <c r="AU174" s="79" t="str">
        <f>REPLACE(INDEX(GroupVertices[Group],MATCH(Vertices[[#This Row],[Vertex]],GroupVertices[Vertex],0)),1,1,"")</f>
        <v>1</v>
      </c>
      <c r="AV174" s="48">
        <v>0</v>
      </c>
      <c r="AW174" s="49">
        <v>0</v>
      </c>
      <c r="AX174" s="48">
        <v>0</v>
      </c>
      <c r="AY174" s="49">
        <v>0</v>
      </c>
      <c r="AZ174" s="48">
        <v>0</v>
      </c>
      <c r="BA174" s="49">
        <v>0</v>
      </c>
      <c r="BB174" s="48">
        <v>30</v>
      </c>
      <c r="BC174" s="49">
        <v>100</v>
      </c>
      <c r="BD174" s="48">
        <v>30</v>
      </c>
      <c r="BE174" s="48"/>
      <c r="BF174" s="48"/>
      <c r="BG174" s="48"/>
      <c r="BH174" s="48"/>
      <c r="BI174" s="2"/>
      <c r="BJ174" s="3"/>
      <c r="BK174" s="3"/>
      <c r="BL174" s="3"/>
      <c r="BM174" s="3"/>
    </row>
    <row r="175" spans="1:65" ht="15">
      <c r="A175" s="65" t="s">
        <v>1267</v>
      </c>
      <c r="B175" s="66"/>
      <c r="C175" s="66"/>
      <c r="D175" s="67">
        <v>200</v>
      </c>
      <c r="E175" s="127"/>
      <c r="F175" s="98" t="str">
        <f>HYPERLINK("https://yt3.ggpht.com/a/AATXAJyUQPEkAMvJSbeMmbj5rJv0-GKZsON4Rg7I0Q=s88-c-k-c0xffffffff-no-rj-mo")</f>
        <v>https://yt3.ggpht.com/a/AATXAJyUQPEkAMvJSbeMmbj5rJv0-GKZsON4Rg7I0Q=s88-c-k-c0xffffffff-no-rj-mo</v>
      </c>
      <c r="G175" s="128" t="s">
        <v>51</v>
      </c>
      <c r="H175" s="70" t="s">
        <v>1306</v>
      </c>
      <c r="I175" s="71"/>
      <c r="J175" s="129"/>
      <c r="K175" s="70" t="s">
        <v>1306</v>
      </c>
      <c r="L175" s="130">
        <v>1</v>
      </c>
      <c r="M175" s="75">
        <v>2079.801025390625</v>
      </c>
      <c r="N175" s="75">
        <v>7272</v>
      </c>
      <c r="O175" s="76"/>
      <c r="P175" s="77"/>
      <c r="Q175" s="77"/>
      <c r="R175" s="131"/>
      <c r="S175" s="48">
        <v>0</v>
      </c>
      <c r="T175" s="48">
        <v>0</v>
      </c>
      <c r="U175" s="49">
        <v>0</v>
      </c>
      <c r="V175" s="49">
        <v>0</v>
      </c>
      <c r="W175" s="49">
        <v>0</v>
      </c>
      <c r="X175" s="49">
        <v>0</v>
      </c>
      <c r="Y175" s="49">
        <v>0</v>
      </c>
      <c r="Z175" s="49">
        <v>0</v>
      </c>
      <c r="AA175" s="72">
        <v>175</v>
      </c>
      <c r="AB175" s="72"/>
      <c r="AC175" s="73"/>
      <c r="AD175" s="80" t="s">
        <v>1306</v>
      </c>
      <c r="AE175" s="80"/>
      <c r="AF175" s="80"/>
      <c r="AG175" s="80"/>
      <c r="AH175" s="80"/>
      <c r="AI175" s="80"/>
      <c r="AJ175" s="84">
        <v>41984.075520833336</v>
      </c>
      <c r="AK175" s="82" t="str">
        <f>HYPERLINK("https://yt3.ggpht.com/a/AATXAJyUQPEkAMvJSbeMmbj5rJv0-GKZsON4Rg7I0Q=s88-c-k-c0xffffffff-no-rj-mo")</f>
        <v>https://yt3.ggpht.com/a/AATXAJyUQPEkAMvJSbeMmbj5rJv0-GKZsON4Rg7I0Q=s88-c-k-c0xffffffff-no-rj-mo</v>
      </c>
      <c r="AL175" s="80">
        <v>59233</v>
      </c>
      <c r="AM175" s="80">
        <v>0</v>
      </c>
      <c r="AN175" s="80">
        <v>280</v>
      </c>
      <c r="AO175" s="80" t="b">
        <v>0</v>
      </c>
      <c r="AP175" s="80">
        <v>31</v>
      </c>
      <c r="AQ175" s="80"/>
      <c r="AR175" s="80"/>
      <c r="AS175" s="80" t="s">
        <v>230</v>
      </c>
      <c r="AT175" s="82" t="str">
        <f>HYPERLINK("https://www.youtube.com/channel/UCpYPSoXQ4egc1p2ni6fRKLQ")</f>
        <v>https://www.youtube.com/channel/UCpYPSoXQ4egc1p2ni6fRKLQ</v>
      </c>
      <c r="AU175" s="79" t="str">
        <f>REPLACE(INDEX(GroupVertices[Group],MATCH(Vertices[[#This Row],[Vertex]],GroupVertices[Vertex],0)),1,1,"")</f>
        <v>1</v>
      </c>
      <c r="AV175" s="48"/>
      <c r="AW175" s="49"/>
      <c r="AX175" s="48"/>
      <c r="AY175" s="49"/>
      <c r="AZ175" s="48"/>
      <c r="BA175" s="49"/>
      <c r="BB175" s="48"/>
      <c r="BC175" s="49"/>
      <c r="BD175" s="48"/>
      <c r="BE175" s="48"/>
      <c r="BF175" s="48"/>
      <c r="BG175" s="48"/>
      <c r="BH175" s="48"/>
      <c r="BI175" s="2"/>
      <c r="BJ175" s="3"/>
      <c r="BK175" s="3"/>
      <c r="BL175" s="3"/>
      <c r="BM175" s="3"/>
    </row>
    <row r="176" spans="1:65" ht="15">
      <c r="A176" s="65" t="s">
        <v>1268</v>
      </c>
      <c r="B176" s="66"/>
      <c r="C176" s="66"/>
      <c r="D176" s="67">
        <v>200</v>
      </c>
      <c r="E176" s="127"/>
      <c r="F176" s="98" t="str">
        <f>HYPERLINK("https://yt3.ggpht.com/a/AATXAJznxTCpDyF1_Ap5b9etSgP74S9LBfxrkXX-aA=s88-c-k-c0xffffffff-no-rj-mo")</f>
        <v>https://yt3.ggpht.com/a/AATXAJznxTCpDyF1_Ap5b9etSgP74S9LBfxrkXX-aA=s88-c-k-c0xffffffff-no-rj-mo</v>
      </c>
      <c r="G176" s="128" t="s">
        <v>51</v>
      </c>
      <c r="H176" s="70" t="s">
        <v>1307</v>
      </c>
      <c r="I176" s="71"/>
      <c r="J176" s="129"/>
      <c r="K176" s="70" t="s">
        <v>1307</v>
      </c>
      <c r="L176" s="130">
        <v>1</v>
      </c>
      <c r="M176" s="75">
        <v>2636.03955078125</v>
      </c>
      <c r="N176" s="75">
        <v>5831.76611328125</v>
      </c>
      <c r="O176" s="76"/>
      <c r="P176" s="77"/>
      <c r="Q176" s="77"/>
      <c r="R176" s="131"/>
      <c r="S176" s="48">
        <v>0</v>
      </c>
      <c r="T176" s="48">
        <v>0</v>
      </c>
      <c r="U176" s="49">
        <v>0</v>
      </c>
      <c r="V176" s="49">
        <v>0</v>
      </c>
      <c r="W176" s="49">
        <v>0</v>
      </c>
      <c r="X176" s="49">
        <v>0</v>
      </c>
      <c r="Y176" s="49">
        <v>0</v>
      </c>
      <c r="Z176" s="49">
        <v>0</v>
      </c>
      <c r="AA176" s="72">
        <v>176</v>
      </c>
      <c r="AB176" s="72"/>
      <c r="AC176" s="73"/>
      <c r="AD176" s="80" t="s">
        <v>1307</v>
      </c>
      <c r="AE176" s="80"/>
      <c r="AF176" s="80"/>
      <c r="AG176" s="80"/>
      <c r="AH176" s="80"/>
      <c r="AI176" s="80"/>
      <c r="AJ176" s="84">
        <v>44003.14200231482</v>
      </c>
      <c r="AK176" s="82" t="str">
        <f>HYPERLINK("https://yt3.ggpht.com/a/AATXAJznxTCpDyF1_Ap5b9etSgP74S9LBfxrkXX-aA=s88-c-k-c0xffffffff-no-rj-mo")</f>
        <v>https://yt3.ggpht.com/a/AATXAJznxTCpDyF1_Ap5b9etSgP74S9LBfxrkXX-aA=s88-c-k-c0xffffffff-no-rj-mo</v>
      </c>
      <c r="AL176" s="80">
        <v>2</v>
      </c>
      <c r="AM176" s="80">
        <v>0</v>
      </c>
      <c r="AN176" s="80">
        <v>0</v>
      </c>
      <c r="AO176" s="80" t="b">
        <v>0</v>
      </c>
      <c r="AP176" s="80">
        <v>3</v>
      </c>
      <c r="AQ176" s="80"/>
      <c r="AR176" s="80"/>
      <c r="AS176" s="80" t="s">
        <v>230</v>
      </c>
      <c r="AT176" s="82" t="str">
        <f>HYPERLINK("https://www.youtube.com/channel/UC1JHzu9hLCW3FdsMd6XdDsA")</f>
        <v>https://www.youtube.com/channel/UC1JHzu9hLCW3FdsMd6XdDsA</v>
      </c>
      <c r="AU176" s="79" t="str">
        <f>REPLACE(INDEX(GroupVertices[Group],MATCH(Vertices[[#This Row],[Vertex]],GroupVertices[Vertex],0)),1,1,"")</f>
        <v>1</v>
      </c>
      <c r="AV176" s="48"/>
      <c r="AW176" s="49"/>
      <c r="AX176" s="48"/>
      <c r="AY176" s="49"/>
      <c r="AZ176" s="48"/>
      <c r="BA176" s="49"/>
      <c r="BB176" s="48"/>
      <c r="BC176" s="49"/>
      <c r="BD176" s="48"/>
      <c r="BE176" s="48"/>
      <c r="BF176" s="48"/>
      <c r="BG176" s="48"/>
      <c r="BH176" s="48"/>
      <c r="BI176" s="2"/>
      <c r="BJ176" s="3"/>
      <c r="BK176" s="3"/>
      <c r="BL176" s="3"/>
      <c r="BM176" s="3"/>
    </row>
    <row r="177" spans="1:65" ht="15">
      <c r="A177" s="65" t="s">
        <v>1269</v>
      </c>
      <c r="B177" s="66"/>
      <c r="C177" s="66"/>
      <c r="D177" s="67">
        <v>200</v>
      </c>
      <c r="E177" s="127"/>
      <c r="F177" s="98" t="str">
        <f>HYPERLINK("https://yt3.ggpht.com/a/AATXAJxDT8xyxai_uMxyGDYOf8NZKWcGtKVz7smx6A=s88-c-k-c0xffffffff-no-rj-mo")</f>
        <v>https://yt3.ggpht.com/a/AATXAJxDT8xyxai_uMxyGDYOf8NZKWcGtKVz7smx6A=s88-c-k-c0xffffffff-no-rj-mo</v>
      </c>
      <c r="G177" s="128" t="s">
        <v>51</v>
      </c>
      <c r="H177" s="70" t="s">
        <v>1308</v>
      </c>
      <c r="I177" s="71"/>
      <c r="J177" s="129"/>
      <c r="K177" s="70" t="s">
        <v>1308</v>
      </c>
      <c r="L177" s="130">
        <v>1</v>
      </c>
      <c r="M177" s="75">
        <v>2079.801025390625</v>
      </c>
      <c r="N177" s="75">
        <v>5831.76611328125</v>
      </c>
      <c r="O177" s="76"/>
      <c r="P177" s="77"/>
      <c r="Q177" s="77"/>
      <c r="R177" s="131"/>
      <c r="S177" s="48">
        <v>0</v>
      </c>
      <c r="T177" s="48">
        <v>0</v>
      </c>
      <c r="U177" s="49">
        <v>0</v>
      </c>
      <c r="V177" s="49">
        <v>0</v>
      </c>
      <c r="W177" s="49">
        <v>0</v>
      </c>
      <c r="X177" s="49">
        <v>0</v>
      </c>
      <c r="Y177" s="49">
        <v>0</v>
      </c>
      <c r="Z177" s="49">
        <v>0</v>
      </c>
      <c r="AA177" s="72">
        <v>177</v>
      </c>
      <c r="AB177" s="72"/>
      <c r="AC177" s="73"/>
      <c r="AD177" s="80" t="s">
        <v>1308</v>
      </c>
      <c r="AE177" s="80" t="s">
        <v>1375</v>
      </c>
      <c r="AF177" s="80"/>
      <c r="AG177" s="80"/>
      <c r="AH177" s="80"/>
      <c r="AI177" s="80"/>
      <c r="AJ177" s="84">
        <v>43974.14803240741</v>
      </c>
      <c r="AK177" s="82" t="str">
        <f>HYPERLINK("https://yt3.ggpht.com/a/AATXAJxDT8xyxai_uMxyGDYOf8NZKWcGtKVz7smx6A=s88-c-k-c0xffffffff-no-rj-mo")</f>
        <v>https://yt3.ggpht.com/a/AATXAJxDT8xyxai_uMxyGDYOf8NZKWcGtKVz7smx6A=s88-c-k-c0xffffffff-no-rj-mo</v>
      </c>
      <c r="AL177" s="80">
        <v>62</v>
      </c>
      <c r="AM177" s="80">
        <v>0</v>
      </c>
      <c r="AN177" s="80">
        <v>2</v>
      </c>
      <c r="AO177" s="80" t="b">
        <v>0</v>
      </c>
      <c r="AP177" s="80">
        <v>2</v>
      </c>
      <c r="AQ177" s="80"/>
      <c r="AR177" s="80"/>
      <c r="AS177" s="80" t="s">
        <v>230</v>
      </c>
      <c r="AT177" s="82" t="str">
        <f>HYPERLINK("https://www.youtube.com/channel/UCABYkXnp9d1t1LTj81W-1_A")</f>
        <v>https://www.youtube.com/channel/UCABYkXnp9d1t1LTj81W-1_A</v>
      </c>
      <c r="AU177" s="79" t="str">
        <f>REPLACE(INDEX(GroupVertices[Group],MATCH(Vertices[[#This Row],[Vertex]],GroupVertices[Vertex],0)),1,1,"")</f>
        <v>1</v>
      </c>
      <c r="AV177" s="48">
        <v>0</v>
      </c>
      <c r="AW177" s="49">
        <v>0</v>
      </c>
      <c r="AX177" s="48">
        <v>0</v>
      </c>
      <c r="AY177" s="49">
        <v>0</v>
      </c>
      <c r="AZ177" s="48">
        <v>0</v>
      </c>
      <c r="BA177" s="49">
        <v>0</v>
      </c>
      <c r="BB177" s="48">
        <v>5</v>
      </c>
      <c r="BC177" s="49">
        <v>100</v>
      </c>
      <c r="BD177" s="48">
        <v>5</v>
      </c>
      <c r="BE177" s="48"/>
      <c r="BF177" s="48"/>
      <c r="BG177" s="48"/>
      <c r="BH177" s="48"/>
      <c r="BI177" s="2"/>
      <c r="BJ177" s="3"/>
      <c r="BK177" s="3"/>
      <c r="BL177" s="3"/>
      <c r="BM177" s="3"/>
    </row>
    <row r="178" spans="1:65" ht="15">
      <c r="A178" s="65" t="s">
        <v>1270</v>
      </c>
      <c r="B178" s="66"/>
      <c r="C178" s="66"/>
      <c r="D178" s="67">
        <v>200</v>
      </c>
      <c r="E178" s="127"/>
      <c r="F178" s="98" t="str">
        <f>HYPERLINK("https://yt3.ggpht.com/a/AATXAJyKiKp8LfCvMvPnZmXT3WU6I2rOmSGSh9v5pA=s88-c-k-c0xffffffff-no-rj-mo")</f>
        <v>https://yt3.ggpht.com/a/AATXAJyKiKp8LfCvMvPnZmXT3WU6I2rOmSGSh9v5pA=s88-c-k-c0xffffffff-no-rj-mo</v>
      </c>
      <c r="G178" s="128" t="s">
        <v>51</v>
      </c>
      <c r="H178" s="70" t="s">
        <v>1309</v>
      </c>
      <c r="I178" s="71"/>
      <c r="J178" s="129"/>
      <c r="K178" s="70" t="s">
        <v>1309</v>
      </c>
      <c r="L178" s="130">
        <v>1</v>
      </c>
      <c r="M178" s="75">
        <v>411.08477783203125</v>
      </c>
      <c r="N178" s="75">
        <v>5111.6494140625</v>
      </c>
      <c r="O178" s="76"/>
      <c r="P178" s="77"/>
      <c r="Q178" s="77"/>
      <c r="R178" s="131"/>
      <c r="S178" s="48">
        <v>0</v>
      </c>
      <c r="T178" s="48">
        <v>0</v>
      </c>
      <c r="U178" s="49">
        <v>0</v>
      </c>
      <c r="V178" s="49">
        <v>0</v>
      </c>
      <c r="W178" s="49">
        <v>0</v>
      </c>
      <c r="X178" s="49">
        <v>0</v>
      </c>
      <c r="Y178" s="49">
        <v>0</v>
      </c>
      <c r="Z178" s="49">
        <v>0</v>
      </c>
      <c r="AA178" s="72">
        <v>178</v>
      </c>
      <c r="AB178" s="72"/>
      <c r="AC178" s="73"/>
      <c r="AD178" s="80" t="s">
        <v>1309</v>
      </c>
      <c r="AE178" s="80"/>
      <c r="AF178" s="80"/>
      <c r="AG178" s="80"/>
      <c r="AH178" s="80"/>
      <c r="AI178" s="80"/>
      <c r="AJ178" s="84">
        <v>40682.31313657408</v>
      </c>
      <c r="AK178" s="82" t="str">
        <f>HYPERLINK("https://yt3.ggpht.com/a/AATXAJyKiKp8LfCvMvPnZmXT3WU6I2rOmSGSh9v5pA=s88-c-k-c0xffffffff-no-rj-mo")</f>
        <v>https://yt3.ggpht.com/a/AATXAJyKiKp8LfCvMvPnZmXT3WU6I2rOmSGSh9v5pA=s88-c-k-c0xffffffff-no-rj-mo</v>
      </c>
      <c r="AL178" s="80">
        <v>7</v>
      </c>
      <c r="AM178" s="80">
        <v>0</v>
      </c>
      <c r="AN178" s="80">
        <v>2</v>
      </c>
      <c r="AO178" s="80" t="b">
        <v>0</v>
      </c>
      <c r="AP178" s="80">
        <v>2</v>
      </c>
      <c r="AQ178" s="80"/>
      <c r="AR178" s="80"/>
      <c r="AS178" s="80" t="s">
        <v>230</v>
      </c>
      <c r="AT178" s="82" t="str">
        <f>HYPERLINK("https://www.youtube.com/channel/UCHFm58gPIbuW4nToartlsjw")</f>
        <v>https://www.youtube.com/channel/UCHFm58gPIbuW4nToartlsjw</v>
      </c>
      <c r="AU178" s="79" t="str">
        <f>REPLACE(INDEX(GroupVertices[Group],MATCH(Vertices[[#This Row],[Vertex]],GroupVertices[Vertex],0)),1,1,"")</f>
        <v>1</v>
      </c>
      <c r="AV178" s="48"/>
      <c r="AW178" s="49"/>
      <c r="AX178" s="48"/>
      <c r="AY178" s="49"/>
      <c r="AZ178" s="48"/>
      <c r="BA178" s="49"/>
      <c r="BB178" s="48"/>
      <c r="BC178" s="49"/>
      <c r="BD178" s="48"/>
      <c r="BE178" s="48"/>
      <c r="BF178" s="48"/>
      <c r="BG178" s="48"/>
      <c r="BH178" s="48"/>
      <c r="BI178" s="2"/>
      <c r="BJ178" s="3"/>
      <c r="BK178" s="3"/>
      <c r="BL178" s="3"/>
      <c r="BM178" s="3"/>
    </row>
    <row r="179" spans="1:65" ht="15">
      <c r="A179" s="65" t="s">
        <v>1271</v>
      </c>
      <c r="B179" s="66"/>
      <c r="C179" s="66"/>
      <c r="D179" s="67">
        <v>200</v>
      </c>
      <c r="E179" s="127"/>
      <c r="F179" s="98" t="str">
        <f>HYPERLINK("https://yt3.ggpht.com/a/AATXAJzZv_yOBdtcNkFo5E0ViSGDqVn2PH-l1YXueQ=s88-c-k-c0xffffffff-no-rj-mo")</f>
        <v>https://yt3.ggpht.com/a/AATXAJzZv_yOBdtcNkFo5E0ViSGDqVn2PH-l1YXueQ=s88-c-k-c0xffffffff-no-rj-mo</v>
      </c>
      <c r="G179" s="128" t="s">
        <v>51</v>
      </c>
      <c r="H179" s="70" t="s">
        <v>1310</v>
      </c>
      <c r="I179" s="71"/>
      <c r="J179" s="129"/>
      <c r="K179" s="70" t="s">
        <v>1310</v>
      </c>
      <c r="L179" s="130">
        <v>1</v>
      </c>
      <c r="M179" s="75">
        <v>3192.278076171875</v>
      </c>
      <c r="N179" s="75">
        <v>5831.76611328125</v>
      </c>
      <c r="O179" s="76"/>
      <c r="P179" s="77"/>
      <c r="Q179" s="77"/>
      <c r="R179" s="131"/>
      <c r="S179" s="48">
        <v>0</v>
      </c>
      <c r="T179" s="48">
        <v>0</v>
      </c>
      <c r="U179" s="49">
        <v>0</v>
      </c>
      <c r="V179" s="49">
        <v>0</v>
      </c>
      <c r="W179" s="49">
        <v>0</v>
      </c>
      <c r="X179" s="49">
        <v>0</v>
      </c>
      <c r="Y179" s="49">
        <v>0</v>
      </c>
      <c r="Z179" s="49">
        <v>0</v>
      </c>
      <c r="AA179" s="72">
        <v>179</v>
      </c>
      <c r="AB179" s="72"/>
      <c r="AC179" s="73"/>
      <c r="AD179" s="80" t="s">
        <v>1310</v>
      </c>
      <c r="AE179" s="80" t="s">
        <v>1376</v>
      </c>
      <c r="AF179" s="80"/>
      <c r="AG179" s="80"/>
      <c r="AH179" s="80"/>
      <c r="AI179" s="80"/>
      <c r="AJ179" s="84">
        <v>43991.6283912037</v>
      </c>
      <c r="AK179" s="82" t="str">
        <f>HYPERLINK("https://yt3.ggpht.com/a/AATXAJzZv_yOBdtcNkFo5E0ViSGDqVn2PH-l1YXueQ=s88-c-k-c0xffffffff-no-rj-mo")</f>
        <v>https://yt3.ggpht.com/a/AATXAJzZv_yOBdtcNkFo5E0ViSGDqVn2PH-l1YXueQ=s88-c-k-c0xffffffff-no-rj-mo</v>
      </c>
      <c r="AL179" s="80">
        <v>369</v>
      </c>
      <c r="AM179" s="80">
        <v>0</v>
      </c>
      <c r="AN179" s="80">
        <v>74</v>
      </c>
      <c r="AO179" s="80" t="b">
        <v>0</v>
      </c>
      <c r="AP179" s="80">
        <v>5</v>
      </c>
      <c r="AQ179" s="80"/>
      <c r="AR179" s="80"/>
      <c r="AS179" s="80" t="s">
        <v>230</v>
      </c>
      <c r="AT179" s="82" t="str">
        <f>HYPERLINK("https://www.youtube.com/channel/UC7NxQG493CHvzC4nEFM50Sg")</f>
        <v>https://www.youtube.com/channel/UC7NxQG493CHvzC4nEFM50Sg</v>
      </c>
      <c r="AU179" s="79" t="str">
        <f>REPLACE(INDEX(GroupVertices[Group],MATCH(Vertices[[#This Row],[Vertex]],GroupVertices[Vertex],0)),1,1,"")</f>
        <v>1</v>
      </c>
      <c r="AV179" s="48">
        <v>0</v>
      </c>
      <c r="AW179" s="49">
        <v>0</v>
      </c>
      <c r="AX179" s="48">
        <v>0</v>
      </c>
      <c r="AY179" s="49">
        <v>0</v>
      </c>
      <c r="AZ179" s="48">
        <v>0</v>
      </c>
      <c r="BA179" s="49">
        <v>0</v>
      </c>
      <c r="BB179" s="48">
        <v>12</v>
      </c>
      <c r="BC179" s="49">
        <v>100</v>
      </c>
      <c r="BD179" s="48">
        <v>12</v>
      </c>
      <c r="BE179" s="48"/>
      <c r="BF179" s="48"/>
      <c r="BG179" s="48"/>
      <c r="BH179" s="48"/>
      <c r="BI179" s="2"/>
      <c r="BJ179" s="3"/>
      <c r="BK179" s="3"/>
      <c r="BL179" s="3"/>
      <c r="BM179" s="3"/>
    </row>
    <row r="180" spans="1:65" ht="15">
      <c r="A180" s="65" t="s">
        <v>1272</v>
      </c>
      <c r="B180" s="66"/>
      <c r="C180" s="66"/>
      <c r="D180" s="67">
        <v>200</v>
      </c>
      <c r="E180" s="127"/>
      <c r="F180" s="98" t="str">
        <f>HYPERLINK("https://yt3.ggpht.com/a/AATXAJy0C5TGC3opFvHnXlENKMgWEZXDCR8Ar49q7A=s88-c-k-c0xffffffff-no-rj-mo")</f>
        <v>https://yt3.ggpht.com/a/AATXAJy0C5TGC3opFvHnXlENKMgWEZXDCR8Ar49q7A=s88-c-k-c0xffffffff-no-rj-mo</v>
      </c>
      <c r="G180" s="128" t="s">
        <v>51</v>
      </c>
      <c r="H180" s="70" t="s">
        <v>1311</v>
      </c>
      <c r="I180" s="71"/>
      <c r="J180" s="129"/>
      <c r="K180" s="70" t="s">
        <v>1311</v>
      </c>
      <c r="L180" s="130">
        <v>1</v>
      </c>
      <c r="M180" s="75">
        <v>1523.562255859375</v>
      </c>
      <c r="N180" s="75">
        <v>5831.76611328125</v>
      </c>
      <c r="O180" s="76"/>
      <c r="P180" s="77"/>
      <c r="Q180" s="77"/>
      <c r="R180" s="131"/>
      <c r="S180" s="48">
        <v>0</v>
      </c>
      <c r="T180" s="48">
        <v>0</v>
      </c>
      <c r="U180" s="49">
        <v>0</v>
      </c>
      <c r="V180" s="49">
        <v>0</v>
      </c>
      <c r="W180" s="49">
        <v>0</v>
      </c>
      <c r="X180" s="49">
        <v>0</v>
      </c>
      <c r="Y180" s="49">
        <v>0</v>
      </c>
      <c r="Z180" s="49">
        <v>0</v>
      </c>
      <c r="AA180" s="72">
        <v>180</v>
      </c>
      <c r="AB180" s="72"/>
      <c r="AC180" s="73"/>
      <c r="AD180" s="80" t="s">
        <v>1311</v>
      </c>
      <c r="AE180" s="80"/>
      <c r="AF180" s="80"/>
      <c r="AG180" s="80"/>
      <c r="AH180" s="80"/>
      <c r="AI180" s="80"/>
      <c r="AJ180" s="84">
        <v>39399.09923611111</v>
      </c>
      <c r="AK180" s="82" t="str">
        <f>HYPERLINK("https://yt3.ggpht.com/a/AATXAJy0C5TGC3opFvHnXlENKMgWEZXDCR8Ar49q7A=s88-c-k-c0xffffffff-no-rj-mo")</f>
        <v>https://yt3.ggpht.com/a/AATXAJy0C5TGC3opFvHnXlENKMgWEZXDCR8Ar49q7A=s88-c-k-c0xffffffff-no-rj-mo</v>
      </c>
      <c r="AL180" s="80">
        <v>12543</v>
      </c>
      <c r="AM180" s="80">
        <v>0</v>
      </c>
      <c r="AN180" s="80">
        <v>13</v>
      </c>
      <c r="AO180" s="80" t="b">
        <v>0</v>
      </c>
      <c r="AP180" s="80">
        <v>11</v>
      </c>
      <c r="AQ180" s="80"/>
      <c r="AR180" s="80"/>
      <c r="AS180" s="80" t="s">
        <v>230</v>
      </c>
      <c r="AT180" s="82" t="str">
        <f>HYPERLINK("https://www.youtube.com/channel/UCuyo2-m4oD4yiCb3bMMJnEQ")</f>
        <v>https://www.youtube.com/channel/UCuyo2-m4oD4yiCb3bMMJnEQ</v>
      </c>
      <c r="AU180" s="79" t="str">
        <f>REPLACE(INDEX(GroupVertices[Group],MATCH(Vertices[[#This Row],[Vertex]],GroupVertices[Vertex],0)),1,1,"")</f>
        <v>1</v>
      </c>
      <c r="AV180" s="48"/>
      <c r="AW180" s="49"/>
      <c r="AX180" s="48"/>
      <c r="AY180" s="49"/>
      <c r="AZ180" s="48"/>
      <c r="BA180" s="49"/>
      <c r="BB180" s="48"/>
      <c r="BC180" s="49"/>
      <c r="BD180" s="48"/>
      <c r="BE180" s="48"/>
      <c r="BF180" s="48"/>
      <c r="BG180" s="48"/>
      <c r="BH180" s="48"/>
      <c r="BI180" s="2"/>
      <c r="BJ180" s="3"/>
      <c r="BK180" s="3"/>
      <c r="BL180" s="3"/>
      <c r="BM180" s="3"/>
    </row>
    <row r="181" spans="1:65" ht="15">
      <c r="A181" s="65" t="s">
        <v>1273</v>
      </c>
      <c r="B181" s="66"/>
      <c r="C181" s="66"/>
      <c r="D181" s="67">
        <v>200</v>
      </c>
      <c r="E181" s="127"/>
      <c r="F181" s="98" t="str">
        <f>HYPERLINK("https://yt3.ggpht.com/a/AATXAJw_6To2RaiBUwWf2owA06GSAMe9ZoapeZhxEQ=s88-c-k-c0xffffffff-no-rj-mo")</f>
        <v>https://yt3.ggpht.com/a/AATXAJw_6To2RaiBUwWf2owA06GSAMe9ZoapeZhxEQ=s88-c-k-c0xffffffff-no-rj-mo</v>
      </c>
      <c r="G181" s="128" t="s">
        <v>51</v>
      </c>
      <c r="H181" s="70" t="s">
        <v>1312</v>
      </c>
      <c r="I181" s="71"/>
      <c r="J181" s="129"/>
      <c r="K181" s="70" t="s">
        <v>1312</v>
      </c>
      <c r="L181" s="130">
        <v>1</v>
      </c>
      <c r="M181" s="75">
        <v>3192.278076171875</v>
      </c>
      <c r="N181" s="75">
        <v>6551.8828125</v>
      </c>
      <c r="O181" s="76"/>
      <c r="P181" s="77"/>
      <c r="Q181" s="77"/>
      <c r="R181" s="131"/>
      <c r="S181" s="48">
        <v>0</v>
      </c>
      <c r="T181" s="48">
        <v>0</v>
      </c>
      <c r="U181" s="49">
        <v>0</v>
      </c>
      <c r="V181" s="49">
        <v>0</v>
      </c>
      <c r="W181" s="49">
        <v>0</v>
      </c>
      <c r="X181" s="49">
        <v>0</v>
      </c>
      <c r="Y181" s="49">
        <v>0</v>
      </c>
      <c r="Z181" s="49">
        <v>0</v>
      </c>
      <c r="AA181" s="72">
        <v>181</v>
      </c>
      <c r="AB181" s="72"/>
      <c r="AC181" s="73"/>
      <c r="AD181" s="80" t="s">
        <v>1312</v>
      </c>
      <c r="AE181" s="80"/>
      <c r="AF181" s="80"/>
      <c r="AG181" s="80"/>
      <c r="AH181" s="80"/>
      <c r="AI181" s="80" t="s">
        <v>1433</v>
      </c>
      <c r="AJ181" s="84">
        <v>43056.07048611111</v>
      </c>
      <c r="AK181" s="82" t="str">
        <f>HYPERLINK("https://yt3.ggpht.com/a/AATXAJw_6To2RaiBUwWf2owA06GSAMe9ZoapeZhxEQ=s88-c-k-c0xffffffff-no-rj-mo")</f>
        <v>https://yt3.ggpht.com/a/AATXAJw_6To2RaiBUwWf2owA06GSAMe9ZoapeZhxEQ=s88-c-k-c0xffffffff-no-rj-mo</v>
      </c>
      <c r="AL181" s="80">
        <v>35985</v>
      </c>
      <c r="AM181" s="80">
        <v>0</v>
      </c>
      <c r="AN181" s="80">
        <v>1190</v>
      </c>
      <c r="AO181" s="80" t="b">
        <v>0</v>
      </c>
      <c r="AP181" s="80">
        <v>347</v>
      </c>
      <c r="AQ181" s="80"/>
      <c r="AR181" s="80"/>
      <c r="AS181" s="80" t="s">
        <v>230</v>
      </c>
      <c r="AT181" s="82" t="str">
        <f>HYPERLINK("https://www.youtube.com/channel/UCENbpaPgVhO2GtlNcwAJ8mA")</f>
        <v>https://www.youtube.com/channel/UCENbpaPgVhO2GtlNcwAJ8mA</v>
      </c>
      <c r="AU181" s="79" t="str">
        <f>REPLACE(INDEX(GroupVertices[Group],MATCH(Vertices[[#This Row],[Vertex]],GroupVertices[Vertex],0)),1,1,"")</f>
        <v>1</v>
      </c>
      <c r="AV181" s="48"/>
      <c r="AW181" s="49"/>
      <c r="AX181" s="48"/>
      <c r="AY181" s="49"/>
      <c r="AZ181" s="48"/>
      <c r="BA181" s="49"/>
      <c r="BB181" s="48"/>
      <c r="BC181" s="49"/>
      <c r="BD181" s="48"/>
      <c r="BE181" s="48"/>
      <c r="BF181" s="48"/>
      <c r="BG181" s="48"/>
      <c r="BH181" s="48"/>
      <c r="BI181" s="2"/>
      <c r="BJ181" s="3"/>
      <c r="BK181" s="3"/>
      <c r="BL181" s="3"/>
      <c r="BM181" s="3"/>
    </row>
    <row r="182" spans="1:65" ht="15">
      <c r="A182" s="65" t="s">
        <v>1274</v>
      </c>
      <c r="B182" s="66"/>
      <c r="C182" s="66"/>
      <c r="D182" s="67">
        <v>200</v>
      </c>
      <c r="E182" s="127"/>
      <c r="F182" s="98" t="str">
        <f>HYPERLINK("https://yt3.ggpht.com/a/AATXAJywC7L_lZ6kr0fvPIuPuI5hL-f2E2lK2Mk_9g=s88-c-k-c0xffffffff-no-rj-mo")</f>
        <v>https://yt3.ggpht.com/a/AATXAJywC7L_lZ6kr0fvPIuPuI5hL-f2E2lK2Mk_9g=s88-c-k-c0xffffffff-no-rj-mo</v>
      </c>
      <c r="G182" s="128" t="s">
        <v>51</v>
      </c>
      <c r="H182" s="70" t="s">
        <v>1313</v>
      </c>
      <c r="I182" s="71"/>
      <c r="J182" s="129"/>
      <c r="K182" s="70" t="s">
        <v>1313</v>
      </c>
      <c r="L182" s="130">
        <v>1</v>
      </c>
      <c r="M182" s="75">
        <v>2636.03955078125</v>
      </c>
      <c r="N182" s="75">
        <v>6551.8828125</v>
      </c>
      <c r="O182" s="76"/>
      <c r="P182" s="77"/>
      <c r="Q182" s="77"/>
      <c r="R182" s="131"/>
      <c r="S182" s="48">
        <v>0</v>
      </c>
      <c r="T182" s="48">
        <v>0</v>
      </c>
      <c r="U182" s="49">
        <v>0</v>
      </c>
      <c r="V182" s="49">
        <v>0</v>
      </c>
      <c r="W182" s="49">
        <v>0</v>
      </c>
      <c r="X182" s="49">
        <v>0</v>
      </c>
      <c r="Y182" s="49">
        <v>0</v>
      </c>
      <c r="Z182" s="49">
        <v>0</v>
      </c>
      <c r="AA182" s="72">
        <v>182</v>
      </c>
      <c r="AB182" s="72"/>
      <c r="AC182" s="73"/>
      <c r="AD182" s="80" t="s">
        <v>1313</v>
      </c>
      <c r="AE182" s="80" t="s">
        <v>1377</v>
      </c>
      <c r="AF182" s="80"/>
      <c r="AG182" s="80"/>
      <c r="AH182" s="80"/>
      <c r="AI182" s="80" t="s">
        <v>1434</v>
      </c>
      <c r="AJ182" s="84">
        <v>40835.70358796296</v>
      </c>
      <c r="AK182" s="82" t="str">
        <f>HYPERLINK("https://yt3.ggpht.com/a/AATXAJywC7L_lZ6kr0fvPIuPuI5hL-f2E2lK2Mk_9g=s88-c-k-c0xffffffff-no-rj-mo")</f>
        <v>https://yt3.ggpht.com/a/AATXAJywC7L_lZ6kr0fvPIuPuI5hL-f2E2lK2Mk_9g=s88-c-k-c0xffffffff-no-rj-mo</v>
      </c>
      <c r="AL182" s="80">
        <v>75701</v>
      </c>
      <c r="AM182" s="80">
        <v>0</v>
      </c>
      <c r="AN182" s="80">
        <v>4770</v>
      </c>
      <c r="AO182" s="80" t="b">
        <v>0</v>
      </c>
      <c r="AP182" s="80">
        <v>34</v>
      </c>
      <c r="AQ182" s="80"/>
      <c r="AR182" s="80"/>
      <c r="AS182" s="80" t="s">
        <v>230</v>
      </c>
      <c r="AT182" s="82" t="str">
        <f>HYPERLINK("https://www.youtube.com/channel/UCcc21gBGNJwZM_eDEByeN-Q")</f>
        <v>https://www.youtube.com/channel/UCcc21gBGNJwZM_eDEByeN-Q</v>
      </c>
      <c r="AU182" s="79" t="str">
        <f>REPLACE(INDEX(GroupVertices[Group],MATCH(Vertices[[#This Row],[Vertex]],GroupVertices[Vertex],0)),1,1,"")</f>
        <v>1</v>
      </c>
      <c r="AV182" s="48">
        <v>4</v>
      </c>
      <c r="AW182" s="49">
        <v>4.040404040404041</v>
      </c>
      <c r="AX182" s="48">
        <v>0</v>
      </c>
      <c r="AY182" s="49">
        <v>0</v>
      </c>
      <c r="AZ182" s="48">
        <v>0</v>
      </c>
      <c r="BA182" s="49">
        <v>0</v>
      </c>
      <c r="BB182" s="48">
        <v>95</v>
      </c>
      <c r="BC182" s="49">
        <v>95.95959595959596</v>
      </c>
      <c r="BD182" s="48">
        <v>99</v>
      </c>
      <c r="BE182" s="48"/>
      <c r="BF182" s="48"/>
      <c r="BG182" s="48"/>
      <c r="BH182" s="48"/>
      <c r="BI182" s="2"/>
      <c r="BJ182" s="3"/>
      <c r="BK182" s="3"/>
      <c r="BL182" s="3"/>
      <c r="BM182" s="3"/>
    </row>
    <row r="183" spans="1:65" ht="15">
      <c r="A183" s="65" t="s">
        <v>1275</v>
      </c>
      <c r="B183" s="66"/>
      <c r="C183" s="66"/>
      <c r="D183" s="67">
        <v>200</v>
      </c>
      <c r="E183" s="127"/>
      <c r="F183" s="98" t="str">
        <f>HYPERLINK("https://yt3.ggpht.com/a/AATXAJzpb9QdWQGqfEUAln6MkbPN_gFQneYHSbjy_w=s88-c-k-c0xffffffff-no-rj-mo")</f>
        <v>https://yt3.ggpht.com/a/AATXAJzpb9QdWQGqfEUAln6MkbPN_gFQneYHSbjy_w=s88-c-k-c0xffffffff-no-rj-mo</v>
      </c>
      <c r="G183" s="128" t="s">
        <v>51</v>
      </c>
      <c r="H183" s="70" t="s">
        <v>1314</v>
      </c>
      <c r="I183" s="71"/>
      <c r="J183" s="129"/>
      <c r="K183" s="70" t="s">
        <v>1314</v>
      </c>
      <c r="L183" s="130">
        <v>1</v>
      </c>
      <c r="M183" s="75">
        <v>967.323486328125</v>
      </c>
      <c r="N183" s="75">
        <v>5831.76611328125</v>
      </c>
      <c r="O183" s="76"/>
      <c r="P183" s="77"/>
      <c r="Q183" s="77"/>
      <c r="R183" s="131"/>
      <c r="S183" s="48">
        <v>0</v>
      </c>
      <c r="T183" s="48">
        <v>0</v>
      </c>
      <c r="U183" s="49">
        <v>0</v>
      </c>
      <c r="V183" s="49">
        <v>0</v>
      </c>
      <c r="W183" s="49">
        <v>0</v>
      </c>
      <c r="X183" s="49">
        <v>0</v>
      </c>
      <c r="Y183" s="49">
        <v>0</v>
      </c>
      <c r="Z183" s="49">
        <v>0</v>
      </c>
      <c r="AA183" s="72">
        <v>183</v>
      </c>
      <c r="AB183" s="72"/>
      <c r="AC183" s="73"/>
      <c r="AD183" s="80" t="s">
        <v>1314</v>
      </c>
      <c r="AE183" s="80" t="s">
        <v>1378</v>
      </c>
      <c r="AF183" s="80"/>
      <c r="AG183" s="80"/>
      <c r="AH183" s="80"/>
      <c r="AI183" s="80" t="s">
        <v>1435</v>
      </c>
      <c r="AJ183" s="84">
        <v>41543.239282407405</v>
      </c>
      <c r="AK183" s="82" t="str">
        <f>HYPERLINK("https://yt3.ggpht.com/a/AATXAJzpb9QdWQGqfEUAln6MkbPN_gFQneYHSbjy_w=s88-c-k-c0xffffffff-no-rj-mo")</f>
        <v>https://yt3.ggpht.com/a/AATXAJzpb9QdWQGqfEUAln6MkbPN_gFQneYHSbjy_w=s88-c-k-c0xffffffff-no-rj-mo</v>
      </c>
      <c r="AL183" s="80">
        <v>3845583</v>
      </c>
      <c r="AM183" s="80">
        <v>0</v>
      </c>
      <c r="AN183" s="80">
        <v>70800</v>
      </c>
      <c r="AO183" s="80" t="b">
        <v>0</v>
      </c>
      <c r="AP183" s="80">
        <v>290</v>
      </c>
      <c r="AQ183" s="80"/>
      <c r="AR183" s="80"/>
      <c r="AS183" s="80" t="s">
        <v>230</v>
      </c>
      <c r="AT183" s="82" t="str">
        <f>HYPERLINK("https://www.youtube.com/channel/UCRNmSv7mAPYiC0Y40TJijAw")</f>
        <v>https://www.youtube.com/channel/UCRNmSv7mAPYiC0Y40TJijAw</v>
      </c>
      <c r="AU183" s="79" t="str">
        <f>REPLACE(INDEX(GroupVertices[Group],MATCH(Vertices[[#This Row],[Vertex]],GroupVertices[Vertex],0)),1,1,"")</f>
        <v>1</v>
      </c>
      <c r="AV183" s="48">
        <v>6</v>
      </c>
      <c r="AW183" s="49">
        <v>3.4285714285714284</v>
      </c>
      <c r="AX183" s="48">
        <v>0</v>
      </c>
      <c r="AY183" s="49">
        <v>0</v>
      </c>
      <c r="AZ183" s="48">
        <v>0</v>
      </c>
      <c r="BA183" s="49">
        <v>0</v>
      </c>
      <c r="BB183" s="48">
        <v>169</v>
      </c>
      <c r="BC183" s="49">
        <v>96.57142857142857</v>
      </c>
      <c r="BD183" s="48">
        <v>175</v>
      </c>
      <c r="BE183" s="48"/>
      <c r="BF183" s="48"/>
      <c r="BG183" s="48"/>
      <c r="BH183" s="48"/>
      <c r="BI183" s="2"/>
      <c r="BJ183" s="3"/>
      <c r="BK183" s="3"/>
      <c r="BL183" s="3"/>
      <c r="BM183" s="3"/>
    </row>
    <row r="184" spans="1:65" ht="15">
      <c r="A184" s="65" t="s">
        <v>1276</v>
      </c>
      <c r="B184" s="66"/>
      <c r="C184" s="66"/>
      <c r="D184" s="67">
        <v>200</v>
      </c>
      <c r="E184" s="127"/>
      <c r="F184" s="98" t="str">
        <f>HYPERLINK("https://yt3.ggpht.com/a/AATXAJwDt1hf6pFRaJSqAN10iJXyPt5a7AK1fgHVsw=s88-c-k-c0xffffffff-no-rj-mo")</f>
        <v>https://yt3.ggpht.com/a/AATXAJwDt1hf6pFRaJSqAN10iJXyPt5a7AK1fgHVsw=s88-c-k-c0xffffffff-no-rj-mo</v>
      </c>
      <c r="G184" s="128" t="s">
        <v>51</v>
      </c>
      <c r="H184" s="70" t="s">
        <v>1315</v>
      </c>
      <c r="I184" s="71"/>
      <c r="J184" s="129"/>
      <c r="K184" s="70" t="s">
        <v>1315</v>
      </c>
      <c r="L184" s="130">
        <v>1</v>
      </c>
      <c r="M184" s="75">
        <v>411.08477783203125</v>
      </c>
      <c r="N184" s="75">
        <v>5831.76611328125</v>
      </c>
      <c r="O184" s="76"/>
      <c r="P184" s="77"/>
      <c r="Q184" s="77"/>
      <c r="R184" s="131"/>
      <c r="S184" s="48">
        <v>0</v>
      </c>
      <c r="T184" s="48">
        <v>0</v>
      </c>
      <c r="U184" s="49">
        <v>0</v>
      </c>
      <c r="V184" s="49">
        <v>0</v>
      </c>
      <c r="W184" s="49">
        <v>0</v>
      </c>
      <c r="X184" s="49">
        <v>0</v>
      </c>
      <c r="Y184" s="49">
        <v>0</v>
      </c>
      <c r="Z184" s="49">
        <v>0</v>
      </c>
      <c r="AA184" s="72">
        <v>184</v>
      </c>
      <c r="AB184" s="72"/>
      <c r="AC184" s="73"/>
      <c r="AD184" s="80" t="s">
        <v>1315</v>
      </c>
      <c r="AE184" s="80" t="s">
        <v>1379</v>
      </c>
      <c r="AF184" s="80"/>
      <c r="AG184" s="80"/>
      <c r="AH184" s="80"/>
      <c r="AI184" s="80" t="s">
        <v>1436</v>
      </c>
      <c r="AJ184" s="84">
        <v>43254.56050925926</v>
      </c>
      <c r="AK184" s="82" t="str">
        <f>HYPERLINK("https://yt3.ggpht.com/a/AATXAJwDt1hf6pFRaJSqAN10iJXyPt5a7AK1fgHVsw=s88-c-k-c0xffffffff-no-rj-mo")</f>
        <v>https://yt3.ggpht.com/a/AATXAJwDt1hf6pFRaJSqAN10iJXyPt5a7AK1fgHVsw=s88-c-k-c0xffffffff-no-rj-mo</v>
      </c>
      <c r="AL184" s="80">
        <v>16907</v>
      </c>
      <c r="AM184" s="80">
        <v>0</v>
      </c>
      <c r="AN184" s="80">
        <v>182</v>
      </c>
      <c r="AO184" s="80" t="b">
        <v>0</v>
      </c>
      <c r="AP184" s="80">
        <v>43</v>
      </c>
      <c r="AQ184" s="80"/>
      <c r="AR184" s="80"/>
      <c r="AS184" s="80" t="s">
        <v>230</v>
      </c>
      <c r="AT184" s="82" t="str">
        <f>HYPERLINK("https://www.youtube.com/channel/UC6NOaoqCfTdQcZzZGPkCupg")</f>
        <v>https://www.youtube.com/channel/UC6NOaoqCfTdQcZzZGPkCupg</v>
      </c>
      <c r="AU184" s="79" t="str">
        <f>REPLACE(INDEX(GroupVertices[Group],MATCH(Vertices[[#This Row],[Vertex]],GroupVertices[Vertex],0)),1,1,"")</f>
        <v>1</v>
      </c>
      <c r="AV184" s="48">
        <v>4</v>
      </c>
      <c r="AW184" s="49">
        <v>4.3478260869565215</v>
      </c>
      <c r="AX184" s="48">
        <v>1</v>
      </c>
      <c r="AY184" s="49">
        <v>1.0869565217391304</v>
      </c>
      <c r="AZ184" s="48">
        <v>0</v>
      </c>
      <c r="BA184" s="49">
        <v>0</v>
      </c>
      <c r="BB184" s="48">
        <v>87</v>
      </c>
      <c r="BC184" s="49">
        <v>94.56521739130434</v>
      </c>
      <c r="BD184" s="48">
        <v>92</v>
      </c>
      <c r="BE184" s="48"/>
      <c r="BF184" s="48"/>
      <c r="BG184" s="48"/>
      <c r="BH184" s="48"/>
      <c r="BI184" s="2"/>
      <c r="BJ184" s="3"/>
      <c r="BK184" s="3"/>
      <c r="BL184" s="3"/>
      <c r="BM184" s="3"/>
    </row>
    <row r="185" spans="1:65" ht="15">
      <c r="A185" s="65" t="s">
        <v>1277</v>
      </c>
      <c r="B185" s="66"/>
      <c r="C185" s="66"/>
      <c r="D185" s="67">
        <v>200</v>
      </c>
      <c r="E185" s="127"/>
      <c r="F185" s="98" t="str">
        <f>HYPERLINK("https://yt3.ggpht.com/a/AATXAJwBFqV60oQ3nD8-salhCaRMbyyqxBrkBCGhN6ju=s88-c-k-c0xffffffff-no-rj-mo")</f>
        <v>https://yt3.ggpht.com/a/AATXAJwBFqV60oQ3nD8-salhCaRMbyyqxBrkBCGhN6ju=s88-c-k-c0xffffffff-no-rj-mo</v>
      </c>
      <c r="G185" s="128" t="s">
        <v>51</v>
      </c>
      <c r="H185" s="70" t="s">
        <v>1316</v>
      </c>
      <c r="I185" s="71"/>
      <c r="J185" s="129"/>
      <c r="K185" s="70" t="s">
        <v>1316</v>
      </c>
      <c r="L185" s="130">
        <v>1</v>
      </c>
      <c r="M185" s="75">
        <v>967.323486328125</v>
      </c>
      <c r="N185" s="75">
        <v>6551.8828125</v>
      </c>
      <c r="O185" s="76"/>
      <c r="P185" s="77"/>
      <c r="Q185" s="77"/>
      <c r="R185" s="131"/>
      <c r="S185" s="48">
        <v>0</v>
      </c>
      <c r="T185" s="48">
        <v>0</v>
      </c>
      <c r="U185" s="49">
        <v>0</v>
      </c>
      <c r="V185" s="49">
        <v>0</v>
      </c>
      <c r="W185" s="49">
        <v>0</v>
      </c>
      <c r="X185" s="49">
        <v>0</v>
      </c>
      <c r="Y185" s="49">
        <v>0</v>
      </c>
      <c r="Z185" s="49">
        <v>0</v>
      </c>
      <c r="AA185" s="72">
        <v>185</v>
      </c>
      <c r="AB185" s="72"/>
      <c r="AC185" s="73"/>
      <c r="AD185" s="80" t="s">
        <v>1316</v>
      </c>
      <c r="AE185" s="80" t="s">
        <v>1380</v>
      </c>
      <c r="AF185" s="80"/>
      <c r="AG185" s="80"/>
      <c r="AH185" s="80"/>
      <c r="AI185" s="80" t="s">
        <v>1437</v>
      </c>
      <c r="AJ185" s="84">
        <v>43921.74949074074</v>
      </c>
      <c r="AK185" s="82" t="str">
        <f>HYPERLINK("https://yt3.ggpht.com/a/AATXAJwBFqV60oQ3nD8-salhCaRMbyyqxBrkBCGhN6ju=s88-c-k-c0xffffffff-no-rj-mo")</f>
        <v>https://yt3.ggpht.com/a/AATXAJwBFqV60oQ3nD8-salhCaRMbyyqxBrkBCGhN6ju=s88-c-k-c0xffffffff-no-rj-mo</v>
      </c>
      <c r="AL185" s="80">
        <v>2887</v>
      </c>
      <c r="AM185" s="80">
        <v>0</v>
      </c>
      <c r="AN185" s="80">
        <v>186</v>
      </c>
      <c r="AO185" s="80" t="b">
        <v>0</v>
      </c>
      <c r="AP185" s="80">
        <v>39</v>
      </c>
      <c r="AQ185" s="80"/>
      <c r="AR185" s="80"/>
      <c r="AS185" s="80" t="s">
        <v>230</v>
      </c>
      <c r="AT185" s="82" t="str">
        <f>HYPERLINK("https://www.youtube.com/channel/UCn4VeDiC0EajANVgnd72wHg")</f>
        <v>https://www.youtube.com/channel/UCn4VeDiC0EajANVgnd72wHg</v>
      </c>
      <c r="AU185" s="79" t="str">
        <f>REPLACE(INDEX(GroupVertices[Group],MATCH(Vertices[[#This Row],[Vertex]],GroupVertices[Vertex],0)),1,1,"")</f>
        <v>1</v>
      </c>
      <c r="AV185" s="48">
        <v>8</v>
      </c>
      <c r="AW185" s="49">
        <v>6.2015503875969</v>
      </c>
      <c r="AX185" s="48">
        <v>1</v>
      </c>
      <c r="AY185" s="49">
        <v>0.7751937984496124</v>
      </c>
      <c r="AZ185" s="48">
        <v>0</v>
      </c>
      <c r="BA185" s="49">
        <v>0</v>
      </c>
      <c r="BB185" s="48">
        <v>120</v>
      </c>
      <c r="BC185" s="49">
        <v>93.02325581395348</v>
      </c>
      <c r="BD185" s="48">
        <v>129</v>
      </c>
      <c r="BE185" s="48"/>
      <c r="BF185" s="48"/>
      <c r="BG185" s="48"/>
      <c r="BH185" s="48"/>
      <c r="BI185" s="2"/>
      <c r="BJ185" s="3"/>
      <c r="BK185" s="3"/>
      <c r="BL185" s="3"/>
      <c r="BM185" s="3"/>
    </row>
    <row r="186" spans="1:65" ht="15">
      <c r="A186" s="65" t="s">
        <v>1278</v>
      </c>
      <c r="B186" s="66"/>
      <c r="C186" s="66"/>
      <c r="D186" s="67">
        <v>200</v>
      </c>
      <c r="E186" s="127"/>
      <c r="F186" s="98" t="str">
        <f>HYPERLINK("https://yt3.ggpht.com/a/AATXAJxKmUXdC44hAqPWd2rVecAotJLgiqAupyLxfA=s88-c-k-c0xffffffff-no-rj-mo")</f>
        <v>https://yt3.ggpht.com/a/AATXAJxKmUXdC44hAqPWd2rVecAotJLgiqAupyLxfA=s88-c-k-c0xffffffff-no-rj-mo</v>
      </c>
      <c r="G186" s="128" t="s">
        <v>51</v>
      </c>
      <c r="H186" s="70" t="s">
        <v>1317</v>
      </c>
      <c r="I186" s="71"/>
      <c r="J186" s="129"/>
      <c r="K186" s="70" t="s">
        <v>1317</v>
      </c>
      <c r="L186" s="130">
        <v>1</v>
      </c>
      <c r="M186" s="75">
        <v>411.08477783203125</v>
      </c>
      <c r="N186" s="75">
        <v>8712.234375</v>
      </c>
      <c r="O186" s="76"/>
      <c r="P186" s="77"/>
      <c r="Q186" s="77"/>
      <c r="R186" s="131"/>
      <c r="S186" s="48">
        <v>0</v>
      </c>
      <c r="T186" s="48">
        <v>0</v>
      </c>
      <c r="U186" s="49">
        <v>0</v>
      </c>
      <c r="V186" s="49">
        <v>0</v>
      </c>
      <c r="W186" s="49">
        <v>0</v>
      </c>
      <c r="X186" s="49">
        <v>0</v>
      </c>
      <c r="Y186" s="49">
        <v>0</v>
      </c>
      <c r="Z186" s="49">
        <v>0</v>
      </c>
      <c r="AA186" s="72">
        <v>186</v>
      </c>
      <c r="AB186" s="72"/>
      <c r="AC186" s="73"/>
      <c r="AD186" s="80" t="s">
        <v>1317</v>
      </c>
      <c r="AE186" s="80" t="s">
        <v>1381</v>
      </c>
      <c r="AF186" s="80"/>
      <c r="AG186" s="80"/>
      <c r="AH186" s="80"/>
      <c r="AI186" s="80" t="s">
        <v>1438</v>
      </c>
      <c r="AJ186" s="84">
        <v>40818.206354166665</v>
      </c>
      <c r="AK186" s="82" t="str">
        <f>HYPERLINK("https://yt3.ggpht.com/a/AATXAJxKmUXdC44hAqPWd2rVecAotJLgiqAupyLxfA=s88-c-k-c0xffffffff-no-rj-mo")</f>
        <v>https://yt3.ggpht.com/a/AATXAJxKmUXdC44hAqPWd2rVecAotJLgiqAupyLxfA=s88-c-k-c0xffffffff-no-rj-mo</v>
      </c>
      <c r="AL186" s="80">
        <v>578754</v>
      </c>
      <c r="AM186" s="80">
        <v>0</v>
      </c>
      <c r="AN186" s="80">
        <v>937</v>
      </c>
      <c r="AO186" s="80" t="b">
        <v>0</v>
      </c>
      <c r="AP186" s="80">
        <v>1605</v>
      </c>
      <c r="AQ186" s="80"/>
      <c r="AR186" s="80"/>
      <c r="AS186" s="80" t="s">
        <v>230</v>
      </c>
      <c r="AT186" s="82" t="str">
        <f>HYPERLINK("https://www.youtube.com/channel/UCgUdsjOxUNqi--7ZLzOoPuw")</f>
        <v>https://www.youtube.com/channel/UCgUdsjOxUNqi--7ZLzOoPuw</v>
      </c>
      <c r="AU186" s="79" t="str">
        <f>REPLACE(INDEX(GroupVertices[Group],MATCH(Vertices[[#This Row],[Vertex]],GroupVertices[Vertex],0)),1,1,"")</f>
        <v>1</v>
      </c>
      <c r="AV186" s="48">
        <v>0</v>
      </c>
      <c r="AW186" s="49">
        <v>0</v>
      </c>
      <c r="AX186" s="48">
        <v>1</v>
      </c>
      <c r="AY186" s="49">
        <v>1.7241379310344827</v>
      </c>
      <c r="AZ186" s="48">
        <v>0</v>
      </c>
      <c r="BA186" s="49">
        <v>0</v>
      </c>
      <c r="BB186" s="48">
        <v>57</v>
      </c>
      <c r="BC186" s="49">
        <v>98.27586206896552</v>
      </c>
      <c r="BD186" s="48">
        <v>58</v>
      </c>
      <c r="BE186" s="48"/>
      <c r="BF186" s="48"/>
      <c r="BG186" s="48"/>
      <c r="BH186" s="48"/>
      <c r="BI186" s="2"/>
      <c r="BJ186" s="3"/>
      <c r="BK186" s="3"/>
      <c r="BL186" s="3"/>
      <c r="BM186" s="3"/>
    </row>
    <row r="187" spans="1:65" ht="15">
      <c r="A187" s="65" t="s">
        <v>1279</v>
      </c>
      <c r="B187" s="66"/>
      <c r="C187" s="66"/>
      <c r="D187" s="67">
        <v>200</v>
      </c>
      <c r="E187" s="127"/>
      <c r="F187" s="98" t="str">
        <f>HYPERLINK("https://yt3.ggpht.com/a/AATXAJxwggpKUYuBhHtH_oW_fWpHCZFONUHVicakGQ=s88-c-k-c0xffffffff-no-rj-mo")</f>
        <v>https://yt3.ggpht.com/a/AATXAJxwggpKUYuBhHtH_oW_fWpHCZFONUHVicakGQ=s88-c-k-c0xffffffff-no-rj-mo</v>
      </c>
      <c r="G187" s="128" t="s">
        <v>51</v>
      </c>
      <c r="H187" s="70" t="s">
        <v>1318</v>
      </c>
      <c r="I187" s="71"/>
      <c r="J187" s="129"/>
      <c r="K187" s="70" t="s">
        <v>1318</v>
      </c>
      <c r="L187" s="130">
        <v>1</v>
      </c>
      <c r="M187" s="75">
        <v>3192.278076171875</v>
      </c>
      <c r="N187" s="75">
        <v>9432.3505859375</v>
      </c>
      <c r="O187" s="76"/>
      <c r="P187" s="77"/>
      <c r="Q187" s="77"/>
      <c r="R187" s="131"/>
      <c r="S187" s="48">
        <v>0</v>
      </c>
      <c r="T187" s="48">
        <v>0</v>
      </c>
      <c r="U187" s="49">
        <v>0</v>
      </c>
      <c r="V187" s="49">
        <v>0</v>
      </c>
      <c r="W187" s="49">
        <v>0</v>
      </c>
      <c r="X187" s="49">
        <v>0</v>
      </c>
      <c r="Y187" s="49">
        <v>0</v>
      </c>
      <c r="Z187" s="49">
        <v>0</v>
      </c>
      <c r="AA187" s="72">
        <v>187</v>
      </c>
      <c r="AB187" s="72"/>
      <c r="AC187" s="73"/>
      <c r="AD187" s="80" t="s">
        <v>1318</v>
      </c>
      <c r="AE187" s="80"/>
      <c r="AF187" s="80"/>
      <c r="AG187" s="80"/>
      <c r="AH187" s="80"/>
      <c r="AI187" s="80"/>
      <c r="AJ187" s="84">
        <v>43079.43719907408</v>
      </c>
      <c r="AK187" s="82" t="str">
        <f>HYPERLINK("https://yt3.ggpht.com/a/AATXAJxwggpKUYuBhHtH_oW_fWpHCZFONUHVicakGQ=s88-c-k-c0xffffffff-no-rj-mo")</f>
        <v>https://yt3.ggpht.com/a/AATXAJxwggpKUYuBhHtH_oW_fWpHCZFONUHVicakGQ=s88-c-k-c0xffffffff-no-rj-mo</v>
      </c>
      <c r="AL187" s="80">
        <v>433</v>
      </c>
      <c r="AM187" s="80">
        <v>0</v>
      </c>
      <c r="AN187" s="80">
        <v>59</v>
      </c>
      <c r="AO187" s="80" t="b">
        <v>0</v>
      </c>
      <c r="AP187" s="80">
        <v>6</v>
      </c>
      <c r="AQ187" s="80"/>
      <c r="AR187" s="80"/>
      <c r="AS187" s="80" t="s">
        <v>230</v>
      </c>
      <c r="AT187" s="82" t="str">
        <f>HYPERLINK("https://www.youtube.com/channel/UCGSdeNKceFrKncdRhQwBhSQ")</f>
        <v>https://www.youtube.com/channel/UCGSdeNKceFrKncdRhQwBhSQ</v>
      </c>
      <c r="AU187" s="79" t="str">
        <f>REPLACE(INDEX(GroupVertices[Group],MATCH(Vertices[[#This Row],[Vertex]],GroupVertices[Vertex],0)),1,1,"")</f>
        <v>1</v>
      </c>
      <c r="AV187" s="48"/>
      <c r="AW187" s="49"/>
      <c r="AX187" s="48"/>
      <c r="AY187" s="49"/>
      <c r="AZ187" s="48"/>
      <c r="BA187" s="49"/>
      <c r="BB187" s="48"/>
      <c r="BC187" s="49"/>
      <c r="BD187" s="48"/>
      <c r="BE187" s="48"/>
      <c r="BF187" s="48"/>
      <c r="BG187" s="48"/>
      <c r="BH187" s="48"/>
      <c r="BI187" s="2"/>
      <c r="BJ187" s="3"/>
      <c r="BK187" s="3"/>
      <c r="BL187" s="3"/>
      <c r="BM187" s="3"/>
    </row>
    <row r="188" spans="1:65" ht="15">
      <c r="A188" s="65" t="s">
        <v>1280</v>
      </c>
      <c r="B188" s="66"/>
      <c r="C188" s="66"/>
      <c r="D188" s="67">
        <v>200</v>
      </c>
      <c r="E188" s="127"/>
      <c r="F188" s="98" t="str">
        <f>HYPERLINK("https://yt3.ggpht.com/a/AATXAJx-6oLPTZ8rbdQmnF_FOBS1UD8fd2m-xH5gtw=s88-c-k-c0xffffffff-no-rj-mo")</f>
        <v>https://yt3.ggpht.com/a/AATXAJx-6oLPTZ8rbdQmnF_FOBS1UD8fd2m-xH5gtw=s88-c-k-c0xffffffff-no-rj-mo</v>
      </c>
      <c r="G188" s="128" t="s">
        <v>51</v>
      </c>
      <c r="H188" s="70" t="s">
        <v>1319</v>
      </c>
      <c r="I188" s="71"/>
      <c r="J188" s="129"/>
      <c r="K188" s="70" t="s">
        <v>1319</v>
      </c>
      <c r="L188" s="130">
        <v>1</v>
      </c>
      <c r="M188" s="75">
        <v>1523.562255859375</v>
      </c>
      <c r="N188" s="75">
        <v>8712.234375</v>
      </c>
      <c r="O188" s="76"/>
      <c r="P188" s="77"/>
      <c r="Q188" s="77"/>
      <c r="R188" s="131"/>
      <c r="S188" s="48">
        <v>0</v>
      </c>
      <c r="T188" s="48">
        <v>0</v>
      </c>
      <c r="U188" s="49">
        <v>0</v>
      </c>
      <c r="V188" s="49">
        <v>0</v>
      </c>
      <c r="W188" s="49">
        <v>0</v>
      </c>
      <c r="X188" s="49">
        <v>0</v>
      </c>
      <c r="Y188" s="49">
        <v>0</v>
      </c>
      <c r="Z188" s="49">
        <v>0</v>
      </c>
      <c r="AA188" s="72">
        <v>188</v>
      </c>
      <c r="AB188" s="72"/>
      <c r="AC188" s="73"/>
      <c r="AD188" s="80" t="s">
        <v>1319</v>
      </c>
      <c r="AE188" s="80" t="s">
        <v>1382</v>
      </c>
      <c r="AF188" s="80"/>
      <c r="AG188" s="80"/>
      <c r="AH188" s="80"/>
      <c r="AI188" s="80"/>
      <c r="AJ188" s="84">
        <v>43995.523518518516</v>
      </c>
      <c r="AK188" s="82" t="str">
        <f>HYPERLINK("https://yt3.ggpht.com/a/AATXAJx-6oLPTZ8rbdQmnF_FOBS1UD8fd2m-xH5gtw=s88-c-k-c0xffffffff-no-rj-mo")</f>
        <v>https://yt3.ggpht.com/a/AATXAJx-6oLPTZ8rbdQmnF_FOBS1UD8fd2m-xH5gtw=s88-c-k-c0xffffffff-no-rj-mo</v>
      </c>
      <c r="AL188" s="80">
        <v>43</v>
      </c>
      <c r="AM188" s="80">
        <v>0</v>
      </c>
      <c r="AN188" s="80">
        <v>2</v>
      </c>
      <c r="AO188" s="80" t="b">
        <v>0</v>
      </c>
      <c r="AP188" s="80">
        <v>3</v>
      </c>
      <c r="AQ188" s="80"/>
      <c r="AR188" s="80"/>
      <c r="AS188" s="80" t="s">
        <v>230</v>
      </c>
      <c r="AT188" s="82" t="str">
        <f>HYPERLINK("https://www.youtube.com/channel/UCvgzmrFnvVSj7soopaNT_1A")</f>
        <v>https://www.youtube.com/channel/UCvgzmrFnvVSj7soopaNT_1A</v>
      </c>
      <c r="AU188" s="79" t="str">
        <f>REPLACE(INDEX(GroupVertices[Group],MATCH(Vertices[[#This Row],[Vertex]],GroupVertices[Vertex],0)),1,1,"")</f>
        <v>1</v>
      </c>
      <c r="AV188" s="48">
        <v>0</v>
      </c>
      <c r="AW188" s="49">
        <v>0</v>
      </c>
      <c r="AX188" s="48">
        <v>0</v>
      </c>
      <c r="AY188" s="49">
        <v>0</v>
      </c>
      <c r="AZ188" s="48">
        <v>0</v>
      </c>
      <c r="BA188" s="49">
        <v>0</v>
      </c>
      <c r="BB188" s="48">
        <v>62</v>
      </c>
      <c r="BC188" s="49">
        <v>100</v>
      </c>
      <c r="BD188" s="48">
        <v>62</v>
      </c>
      <c r="BE188" s="48"/>
      <c r="BF188" s="48"/>
      <c r="BG188" s="48"/>
      <c r="BH188" s="48"/>
      <c r="BI188" s="2"/>
      <c r="BJ188" s="3"/>
      <c r="BK188" s="3"/>
      <c r="BL188" s="3"/>
      <c r="BM188" s="3"/>
    </row>
    <row r="189" spans="1:65" ht="15">
      <c r="A189" s="65" t="s">
        <v>1281</v>
      </c>
      <c r="B189" s="66"/>
      <c r="C189" s="66"/>
      <c r="D189" s="67">
        <v>200</v>
      </c>
      <c r="E189" s="127"/>
      <c r="F189" s="98" t="str">
        <f>HYPERLINK("https://yt3.ggpht.com/a/AATXAJz7Vnogo7YR6iTXPcPxXTJOEwOX3gvJWKibvA=s88-c-k-c0xffffffff-no-rj-mo")</f>
        <v>https://yt3.ggpht.com/a/AATXAJz7Vnogo7YR6iTXPcPxXTJOEwOX3gvJWKibvA=s88-c-k-c0xffffffff-no-rj-mo</v>
      </c>
      <c r="G189" s="128" t="s">
        <v>51</v>
      </c>
      <c r="H189" s="70" t="s">
        <v>1320</v>
      </c>
      <c r="I189" s="71"/>
      <c r="J189" s="129"/>
      <c r="K189" s="70" t="s">
        <v>1320</v>
      </c>
      <c r="L189" s="130">
        <v>1</v>
      </c>
      <c r="M189" s="75">
        <v>967.323486328125</v>
      </c>
      <c r="N189" s="75">
        <v>8712.234375</v>
      </c>
      <c r="O189" s="76"/>
      <c r="P189" s="77"/>
      <c r="Q189" s="77"/>
      <c r="R189" s="131"/>
      <c r="S189" s="48">
        <v>0</v>
      </c>
      <c r="T189" s="48">
        <v>0</v>
      </c>
      <c r="U189" s="49">
        <v>0</v>
      </c>
      <c r="V189" s="49">
        <v>0</v>
      </c>
      <c r="W189" s="49">
        <v>0</v>
      </c>
      <c r="X189" s="49">
        <v>0</v>
      </c>
      <c r="Y189" s="49">
        <v>0</v>
      </c>
      <c r="Z189" s="49">
        <v>0</v>
      </c>
      <c r="AA189" s="72">
        <v>189</v>
      </c>
      <c r="AB189" s="72"/>
      <c r="AC189" s="73"/>
      <c r="AD189" s="80" t="s">
        <v>1320</v>
      </c>
      <c r="AE189" s="80"/>
      <c r="AF189" s="80"/>
      <c r="AG189" s="80"/>
      <c r="AH189" s="80"/>
      <c r="AI189" s="80" t="s">
        <v>1439</v>
      </c>
      <c r="AJ189" s="84">
        <v>41369.8440162037</v>
      </c>
      <c r="AK189" s="82" t="str">
        <f>HYPERLINK("https://yt3.ggpht.com/a/AATXAJz7Vnogo7YR6iTXPcPxXTJOEwOX3gvJWKibvA=s88-c-k-c0xffffffff-no-rj-mo")</f>
        <v>https://yt3.ggpht.com/a/AATXAJz7Vnogo7YR6iTXPcPxXTJOEwOX3gvJWKibvA=s88-c-k-c0xffffffff-no-rj-mo</v>
      </c>
      <c r="AL189" s="80">
        <v>1240</v>
      </c>
      <c r="AM189" s="80">
        <v>0</v>
      </c>
      <c r="AN189" s="80">
        <v>31</v>
      </c>
      <c r="AO189" s="80" t="b">
        <v>0</v>
      </c>
      <c r="AP189" s="80">
        <v>13</v>
      </c>
      <c r="AQ189" s="80"/>
      <c r="AR189" s="80"/>
      <c r="AS189" s="80" t="s">
        <v>230</v>
      </c>
      <c r="AT189" s="82" t="str">
        <f>HYPERLINK("https://www.youtube.com/channel/UC3wJKzxWH72JKqpOMdn3B6w")</f>
        <v>https://www.youtube.com/channel/UC3wJKzxWH72JKqpOMdn3B6w</v>
      </c>
      <c r="AU189" s="79" t="str">
        <f>REPLACE(INDEX(GroupVertices[Group],MATCH(Vertices[[#This Row],[Vertex]],GroupVertices[Vertex],0)),1,1,"")</f>
        <v>1</v>
      </c>
      <c r="AV189" s="48"/>
      <c r="AW189" s="49"/>
      <c r="AX189" s="48"/>
      <c r="AY189" s="49"/>
      <c r="AZ189" s="48"/>
      <c r="BA189" s="49"/>
      <c r="BB189" s="48"/>
      <c r="BC189" s="49"/>
      <c r="BD189" s="48"/>
      <c r="BE189" s="48"/>
      <c r="BF189" s="48"/>
      <c r="BG189" s="48"/>
      <c r="BH189" s="48"/>
      <c r="BI189" s="2"/>
      <c r="BJ189" s="3"/>
      <c r="BK189" s="3"/>
      <c r="BL189" s="3"/>
      <c r="BM189" s="3"/>
    </row>
    <row r="190" spans="1:65" ht="15">
      <c r="A190" s="65" t="s">
        <v>1282</v>
      </c>
      <c r="B190" s="66"/>
      <c r="C190" s="66"/>
      <c r="D190" s="67">
        <v>200</v>
      </c>
      <c r="E190" s="127"/>
      <c r="F190" s="98" t="str">
        <f>HYPERLINK("https://yt3.ggpht.com/a/AATXAJxZdqbRHlhS3qYGx53AdEGZ_4Y4J1iDaobrnw=s88-c-k-c0xffffffff-no-rj-mo")</f>
        <v>https://yt3.ggpht.com/a/AATXAJxZdqbRHlhS3qYGx53AdEGZ_4Y4J1iDaobrnw=s88-c-k-c0xffffffff-no-rj-mo</v>
      </c>
      <c r="G190" s="128" t="s">
        <v>51</v>
      </c>
      <c r="H190" s="70" t="s">
        <v>1321</v>
      </c>
      <c r="I190" s="71"/>
      <c r="J190" s="129"/>
      <c r="K190" s="70" t="s">
        <v>1321</v>
      </c>
      <c r="L190" s="130">
        <v>1</v>
      </c>
      <c r="M190" s="75">
        <v>2636.03955078125</v>
      </c>
      <c r="N190" s="75">
        <v>9432.3505859375</v>
      </c>
      <c r="O190" s="76"/>
      <c r="P190" s="77"/>
      <c r="Q190" s="77"/>
      <c r="R190" s="131"/>
      <c r="S190" s="48">
        <v>0</v>
      </c>
      <c r="T190" s="48">
        <v>0</v>
      </c>
      <c r="U190" s="49">
        <v>0</v>
      </c>
      <c r="V190" s="49">
        <v>0</v>
      </c>
      <c r="W190" s="49">
        <v>0</v>
      </c>
      <c r="X190" s="49">
        <v>0</v>
      </c>
      <c r="Y190" s="49">
        <v>0</v>
      </c>
      <c r="Z190" s="49">
        <v>0</v>
      </c>
      <c r="AA190" s="72">
        <v>190</v>
      </c>
      <c r="AB190" s="72"/>
      <c r="AC190" s="73"/>
      <c r="AD190" s="80" t="s">
        <v>1321</v>
      </c>
      <c r="AE190" s="80" t="s">
        <v>1383</v>
      </c>
      <c r="AF190" s="80"/>
      <c r="AG190" s="80"/>
      <c r="AH190" s="80"/>
      <c r="AI190" s="80" t="s">
        <v>1440</v>
      </c>
      <c r="AJ190" s="84">
        <v>41397.72457175926</v>
      </c>
      <c r="AK190" s="82" t="str">
        <f>HYPERLINK("https://yt3.ggpht.com/a/AATXAJxZdqbRHlhS3qYGx53AdEGZ_4Y4J1iDaobrnw=s88-c-k-c0xffffffff-no-rj-mo")</f>
        <v>https://yt3.ggpht.com/a/AATXAJxZdqbRHlhS3qYGx53AdEGZ_4Y4J1iDaobrnw=s88-c-k-c0xffffffff-no-rj-mo</v>
      </c>
      <c r="AL190" s="80">
        <v>62</v>
      </c>
      <c r="AM190" s="80">
        <v>0</v>
      </c>
      <c r="AN190" s="80">
        <v>3</v>
      </c>
      <c r="AO190" s="80" t="b">
        <v>0</v>
      </c>
      <c r="AP190" s="80">
        <v>2</v>
      </c>
      <c r="AQ190" s="80"/>
      <c r="AR190" s="80"/>
      <c r="AS190" s="80" t="s">
        <v>230</v>
      </c>
      <c r="AT190" s="82" t="str">
        <f>HYPERLINK("https://www.youtube.com/channel/UCzjnVUKZ8oKniaAq6SA7vIw")</f>
        <v>https://www.youtube.com/channel/UCzjnVUKZ8oKniaAq6SA7vIw</v>
      </c>
      <c r="AU190" s="79" t="str">
        <f>REPLACE(INDEX(GroupVertices[Group],MATCH(Vertices[[#This Row],[Vertex]],GroupVertices[Vertex],0)),1,1,"")</f>
        <v>1</v>
      </c>
      <c r="AV190" s="48">
        <v>0</v>
      </c>
      <c r="AW190" s="49">
        <v>0</v>
      </c>
      <c r="AX190" s="48">
        <v>0</v>
      </c>
      <c r="AY190" s="49">
        <v>0</v>
      </c>
      <c r="AZ190" s="48">
        <v>0</v>
      </c>
      <c r="BA190" s="49">
        <v>0</v>
      </c>
      <c r="BB190" s="48">
        <v>4</v>
      </c>
      <c r="BC190" s="49">
        <v>100</v>
      </c>
      <c r="BD190" s="48">
        <v>4</v>
      </c>
      <c r="BE190" s="48"/>
      <c r="BF190" s="48"/>
      <c r="BG190" s="48"/>
      <c r="BH190" s="48"/>
      <c r="BI190" s="2"/>
      <c r="BJ190" s="3"/>
      <c r="BK190" s="3"/>
      <c r="BL190" s="3"/>
      <c r="BM190" s="3"/>
    </row>
    <row r="191" spans="1:65" ht="15">
      <c r="A191" s="65" t="s">
        <v>1283</v>
      </c>
      <c r="B191" s="66"/>
      <c r="C191" s="66"/>
      <c r="D191" s="67">
        <v>200</v>
      </c>
      <c r="E191" s="127"/>
      <c r="F191" s="98" t="str">
        <f>HYPERLINK("https://yt3.ggpht.com/a/AATXAJw2qXr4pGuowLWRZibnvtdQ_yp6jugEPfZvDQ=s88-c-k-c0xffffffff-no-rj-mo")</f>
        <v>https://yt3.ggpht.com/a/AATXAJw2qXr4pGuowLWRZibnvtdQ_yp6jugEPfZvDQ=s88-c-k-c0xffffffff-no-rj-mo</v>
      </c>
      <c r="G191" s="128" t="s">
        <v>51</v>
      </c>
      <c r="H191" s="70" t="s">
        <v>1322</v>
      </c>
      <c r="I191" s="71"/>
      <c r="J191" s="129"/>
      <c r="K191" s="70" t="s">
        <v>1322</v>
      </c>
      <c r="L191" s="130">
        <v>1</v>
      </c>
      <c r="M191" s="75">
        <v>967.323486328125</v>
      </c>
      <c r="N191" s="75">
        <v>9432.3505859375</v>
      </c>
      <c r="O191" s="76"/>
      <c r="P191" s="77"/>
      <c r="Q191" s="77"/>
      <c r="R191" s="131"/>
      <c r="S191" s="48">
        <v>0</v>
      </c>
      <c r="T191" s="48">
        <v>0</v>
      </c>
      <c r="U191" s="49">
        <v>0</v>
      </c>
      <c r="V191" s="49">
        <v>0</v>
      </c>
      <c r="W191" s="49">
        <v>0</v>
      </c>
      <c r="X191" s="49">
        <v>0</v>
      </c>
      <c r="Y191" s="49">
        <v>0</v>
      </c>
      <c r="Z191" s="49">
        <v>0</v>
      </c>
      <c r="AA191" s="72">
        <v>191</v>
      </c>
      <c r="AB191" s="72"/>
      <c r="AC191" s="73"/>
      <c r="AD191" s="80" t="s">
        <v>1322</v>
      </c>
      <c r="AE191" s="80" t="s">
        <v>1384</v>
      </c>
      <c r="AF191" s="80"/>
      <c r="AG191" s="80"/>
      <c r="AH191" s="80"/>
      <c r="AI191" s="80"/>
      <c r="AJ191" s="84">
        <v>43982.185740740744</v>
      </c>
      <c r="AK191" s="82" t="str">
        <f>HYPERLINK("https://yt3.ggpht.com/a/AATXAJw2qXr4pGuowLWRZibnvtdQ_yp6jugEPfZvDQ=s88-c-k-c0xffffffff-no-rj-mo")</f>
        <v>https://yt3.ggpht.com/a/AATXAJw2qXr4pGuowLWRZibnvtdQ_yp6jugEPfZvDQ=s88-c-k-c0xffffffff-no-rj-mo</v>
      </c>
      <c r="AL191" s="80">
        <v>2337</v>
      </c>
      <c r="AM191" s="80">
        <v>0</v>
      </c>
      <c r="AN191" s="80">
        <v>152</v>
      </c>
      <c r="AO191" s="80" t="b">
        <v>0</v>
      </c>
      <c r="AP191" s="80">
        <v>31</v>
      </c>
      <c r="AQ191" s="80"/>
      <c r="AR191" s="80"/>
      <c r="AS191" s="80" t="s">
        <v>230</v>
      </c>
      <c r="AT191" s="82" t="str">
        <f>HYPERLINK("https://www.youtube.com/channel/UCOMG0iHHi27owoyxGvURxiQ")</f>
        <v>https://www.youtube.com/channel/UCOMG0iHHi27owoyxGvURxiQ</v>
      </c>
      <c r="AU191" s="79" t="str">
        <f>REPLACE(INDEX(GroupVertices[Group],MATCH(Vertices[[#This Row],[Vertex]],GroupVertices[Vertex],0)),1,1,"")</f>
        <v>1</v>
      </c>
      <c r="AV191" s="48">
        <v>5</v>
      </c>
      <c r="AW191" s="49">
        <v>3.937007874015748</v>
      </c>
      <c r="AX191" s="48">
        <v>0</v>
      </c>
      <c r="AY191" s="49">
        <v>0</v>
      </c>
      <c r="AZ191" s="48">
        <v>0</v>
      </c>
      <c r="BA191" s="49">
        <v>0</v>
      </c>
      <c r="BB191" s="48">
        <v>122</v>
      </c>
      <c r="BC191" s="49">
        <v>96.06299212598425</v>
      </c>
      <c r="BD191" s="48">
        <v>127</v>
      </c>
      <c r="BE191" s="48"/>
      <c r="BF191" s="48"/>
      <c r="BG191" s="48"/>
      <c r="BH191" s="48"/>
      <c r="BI191" s="2"/>
      <c r="BJ191" s="3"/>
      <c r="BK191" s="3"/>
      <c r="BL191" s="3"/>
      <c r="BM191" s="3"/>
    </row>
    <row r="192" spans="1:65" ht="15">
      <c r="A192" s="65" t="s">
        <v>1284</v>
      </c>
      <c r="B192" s="66"/>
      <c r="C192" s="66"/>
      <c r="D192" s="67">
        <v>200</v>
      </c>
      <c r="E192" s="127"/>
      <c r="F192" s="98" t="str">
        <f>HYPERLINK("https://yt3.ggpht.com/a/AATXAJw0DphPQRDQyd1tS_1V26t7NBGek6YPkwLTsg=s88-c-k-c0xffffffff-no-rj-mo")</f>
        <v>https://yt3.ggpht.com/a/AATXAJw0DphPQRDQyd1tS_1V26t7NBGek6YPkwLTsg=s88-c-k-c0xffffffff-no-rj-mo</v>
      </c>
      <c r="G192" s="128" t="s">
        <v>51</v>
      </c>
      <c r="H192" s="70" t="s">
        <v>1323</v>
      </c>
      <c r="I192" s="71"/>
      <c r="J192" s="129"/>
      <c r="K192" s="70" t="s">
        <v>1323</v>
      </c>
      <c r="L192" s="130">
        <v>1</v>
      </c>
      <c r="M192" s="75">
        <v>411.08477783203125</v>
      </c>
      <c r="N192" s="75">
        <v>9432.3505859375</v>
      </c>
      <c r="O192" s="76"/>
      <c r="P192" s="77"/>
      <c r="Q192" s="77"/>
      <c r="R192" s="131"/>
      <c r="S192" s="48">
        <v>0</v>
      </c>
      <c r="T192" s="48">
        <v>0</v>
      </c>
      <c r="U192" s="49">
        <v>0</v>
      </c>
      <c r="V192" s="49">
        <v>0</v>
      </c>
      <c r="W192" s="49">
        <v>0</v>
      </c>
      <c r="X192" s="49">
        <v>0</v>
      </c>
      <c r="Y192" s="49">
        <v>0</v>
      </c>
      <c r="Z192" s="49">
        <v>0</v>
      </c>
      <c r="AA192" s="72">
        <v>192</v>
      </c>
      <c r="AB192" s="72"/>
      <c r="AC192" s="73"/>
      <c r="AD192" s="80" t="s">
        <v>1323</v>
      </c>
      <c r="AE192" s="80" t="s">
        <v>1385</v>
      </c>
      <c r="AF192" s="80"/>
      <c r="AG192" s="80"/>
      <c r="AH192" s="80"/>
      <c r="AI192" s="80" t="s">
        <v>1441</v>
      </c>
      <c r="AJ192" s="84">
        <v>42744.58458333334</v>
      </c>
      <c r="AK192" s="82" t="str">
        <f>HYPERLINK("https://yt3.ggpht.com/a/AATXAJw0DphPQRDQyd1tS_1V26t7NBGek6YPkwLTsg=s88-c-k-c0xffffffff-no-rj-mo")</f>
        <v>https://yt3.ggpht.com/a/AATXAJw0DphPQRDQyd1tS_1V26t7NBGek6YPkwLTsg=s88-c-k-c0xffffffff-no-rj-mo</v>
      </c>
      <c r="AL192" s="80">
        <v>41179</v>
      </c>
      <c r="AM192" s="80">
        <v>0</v>
      </c>
      <c r="AN192" s="80">
        <v>3340</v>
      </c>
      <c r="AO192" s="80" t="b">
        <v>0</v>
      </c>
      <c r="AP192" s="80">
        <v>78</v>
      </c>
      <c r="AQ192" s="80"/>
      <c r="AR192" s="80"/>
      <c r="AS192" s="80" t="s">
        <v>230</v>
      </c>
      <c r="AT192" s="82" t="str">
        <f>HYPERLINK("https://www.youtube.com/channel/UCgRzOTVWlyshyIgmxtbYgaQ")</f>
        <v>https://www.youtube.com/channel/UCgRzOTVWlyshyIgmxtbYgaQ</v>
      </c>
      <c r="AU192" s="79" t="str">
        <f>REPLACE(INDEX(GroupVertices[Group],MATCH(Vertices[[#This Row],[Vertex]],GroupVertices[Vertex],0)),1,1,"")</f>
        <v>1</v>
      </c>
      <c r="AV192" s="48">
        <v>0</v>
      </c>
      <c r="AW192" s="49">
        <v>0</v>
      </c>
      <c r="AX192" s="48">
        <v>0</v>
      </c>
      <c r="AY192" s="49">
        <v>0</v>
      </c>
      <c r="AZ192" s="48">
        <v>0</v>
      </c>
      <c r="BA192" s="49">
        <v>0</v>
      </c>
      <c r="BB192" s="48">
        <v>11</v>
      </c>
      <c r="BC192" s="49">
        <v>100</v>
      </c>
      <c r="BD192" s="48">
        <v>11</v>
      </c>
      <c r="BE192" s="48"/>
      <c r="BF192" s="48"/>
      <c r="BG192" s="48"/>
      <c r="BH192" s="48"/>
      <c r="BI192" s="2"/>
      <c r="BJ192" s="3"/>
      <c r="BK192" s="3"/>
      <c r="BL192" s="3"/>
      <c r="BM192" s="3"/>
    </row>
    <row r="193" spans="1:65" ht="15">
      <c r="A193" s="65" t="s">
        <v>1285</v>
      </c>
      <c r="B193" s="66"/>
      <c r="C193" s="66"/>
      <c r="D193" s="67">
        <v>200</v>
      </c>
      <c r="E193" s="127"/>
      <c r="F193" s="98" t="str">
        <f>HYPERLINK("https://yt3.ggpht.com/a/AATXAJxSdB1sujYKVItobZZjQ7s3nR080TkOod1Hyg=s88-c-k-c0xffffffff-no-rj-mo")</f>
        <v>https://yt3.ggpht.com/a/AATXAJxSdB1sujYKVItobZZjQ7s3nR080TkOod1Hyg=s88-c-k-c0xffffffff-no-rj-mo</v>
      </c>
      <c r="G193" s="128" t="s">
        <v>51</v>
      </c>
      <c r="H193" s="70" t="s">
        <v>1324</v>
      </c>
      <c r="I193" s="71"/>
      <c r="J193" s="129"/>
      <c r="K193" s="70" t="s">
        <v>1324</v>
      </c>
      <c r="L193" s="130">
        <v>1</v>
      </c>
      <c r="M193" s="75">
        <v>2079.801025390625</v>
      </c>
      <c r="N193" s="75">
        <v>9432.3505859375</v>
      </c>
      <c r="O193" s="76"/>
      <c r="P193" s="77"/>
      <c r="Q193" s="77"/>
      <c r="R193" s="131"/>
      <c r="S193" s="48">
        <v>0</v>
      </c>
      <c r="T193" s="48">
        <v>0</v>
      </c>
      <c r="U193" s="49">
        <v>0</v>
      </c>
      <c r="V193" s="49">
        <v>0</v>
      </c>
      <c r="W193" s="49">
        <v>0</v>
      </c>
      <c r="X193" s="49">
        <v>0</v>
      </c>
      <c r="Y193" s="49">
        <v>0</v>
      </c>
      <c r="Z193" s="49">
        <v>0</v>
      </c>
      <c r="AA193" s="72">
        <v>193</v>
      </c>
      <c r="AB193" s="72"/>
      <c r="AC193" s="73"/>
      <c r="AD193" s="80" t="s">
        <v>1324</v>
      </c>
      <c r="AE193" s="80"/>
      <c r="AF193" s="80"/>
      <c r="AG193" s="80"/>
      <c r="AH193" s="80"/>
      <c r="AI193" s="80"/>
      <c r="AJ193" s="84">
        <v>40536.74114583333</v>
      </c>
      <c r="AK193" s="82" t="str">
        <f>HYPERLINK("https://yt3.ggpht.com/a/AATXAJxSdB1sujYKVItobZZjQ7s3nR080TkOod1Hyg=s88-c-k-c0xffffffff-no-rj-mo")</f>
        <v>https://yt3.ggpht.com/a/AATXAJxSdB1sujYKVItobZZjQ7s3nR080TkOod1Hyg=s88-c-k-c0xffffffff-no-rj-mo</v>
      </c>
      <c r="AL193" s="80">
        <v>3301</v>
      </c>
      <c r="AM193" s="80">
        <v>0</v>
      </c>
      <c r="AN193" s="80">
        <v>275</v>
      </c>
      <c r="AO193" s="80" t="b">
        <v>0</v>
      </c>
      <c r="AP193" s="80">
        <v>13</v>
      </c>
      <c r="AQ193" s="80"/>
      <c r="AR193" s="80"/>
      <c r="AS193" s="80" t="s">
        <v>230</v>
      </c>
      <c r="AT193" s="82" t="str">
        <f>HYPERLINK("https://www.youtube.com/channel/UCs2OkG6BtmlalVOYEt7AW1Q")</f>
        <v>https://www.youtube.com/channel/UCs2OkG6BtmlalVOYEt7AW1Q</v>
      </c>
      <c r="AU193" s="79" t="str">
        <f>REPLACE(INDEX(GroupVertices[Group],MATCH(Vertices[[#This Row],[Vertex]],GroupVertices[Vertex],0)),1,1,"")</f>
        <v>1</v>
      </c>
      <c r="AV193" s="48"/>
      <c r="AW193" s="49"/>
      <c r="AX193" s="48"/>
      <c r="AY193" s="49"/>
      <c r="AZ193" s="48"/>
      <c r="BA193" s="49"/>
      <c r="BB193" s="48"/>
      <c r="BC193" s="49"/>
      <c r="BD193" s="48"/>
      <c r="BE193" s="48"/>
      <c r="BF193" s="48"/>
      <c r="BG193" s="48"/>
      <c r="BH193" s="48"/>
      <c r="BI193" s="2"/>
      <c r="BJ193" s="3"/>
      <c r="BK193" s="3"/>
      <c r="BL193" s="3"/>
      <c r="BM193" s="3"/>
    </row>
    <row r="194" spans="1:65" ht="15">
      <c r="A194" s="65" t="s">
        <v>1286</v>
      </c>
      <c r="B194" s="66"/>
      <c r="C194" s="66"/>
      <c r="D194" s="67">
        <v>200</v>
      </c>
      <c r="E194" s="127"/>
      <c r="F194" s="98" t="str">
        <f>HYPERLINK("https://yt3.ggpht.com/a/AATXAJzD7j6Ay7marL6KM_ehs2e3rfA1jI0Y6zQgfw=s88-c-k-c0xffffffff-no-rj-mo")</f>
        <v>https://yt3.ggpht.com/a/AATXAJzD7j6Ay7marL6KM_ehs2e3rfA1jI0Y6zQgfw=s88-c-k-c0xffffffff-no-rj-mo</v>
      </c>
      <c r="G194" s="128" t="s">
        <v>51</v>
      </c>
      <c r="H194" s="70" t="s">
        <v>1325</v>
      </c>
      <c r="I194" s="71"/>
      <c r="J194" s="129"/>
      <c r="K194" s="70" t="s">
        <v>1325</v>
      </c>
      <c r="L194" s="130">
        <v>1</v>
      </c>
      <c r="M194" s="75">
        <v>1523.562255859375</v>
      </c>
      <c r="N194" s="75">
        <v>9432.3505859375</v>
      </c>
      <c r="O194" s="76"/>
      <c r="P194" s="77"/>
      <c r="Q194" s="77"/>
      <c r="R194" s="131"/>
      <c r="S194" s="48">
        <v>0</v>
      </c>
      <c r="T194" s="48">
        <v>0</v>
      </c>
      <c r="U194" s="49">
        <v>0</v>
      </c>
      <c r="V194" s="49">
        <v>0</v>
      </c>
      <c r="W194" s="49">
        <v>0</v>
      </c>
      <c r="X194" s="49">
        <v>0</v>
      </c>
      <c r="Y194" s="49">
        <v>0</v>
      </c>
      <c r="Z194" s="49">
        <v>0</v>
      </c>
      <c r="AA194" s="72">
        <v>194</v>
      </c>
      <c r="AB194" s="72"/>
      <c r="AC194" s="73"/>
      <c r="AD194" s="80" t="s">
        <v>1325</v>
      </c>
      <c r="AE194" s="80" t="s">
        <v>1386</v>
      </c>
      <c r="AF194" s="80"/>
      <c r="AG194" s="80"/>
      <c r="AH194" s="80"/>
      <c r="AI194" s="80"/>
      <c r="AJ194" s="84">
        <v>43517.865798611114</v>
      </c>
      <c r="AK194" s="82" t="str">
        <f>HYPERLINK("https://yt3.ggpht.com/a/AATXAJzD7j6Ay7marL6KM_ehs2e3rfA1jI0Y6zQgfw=s88-c-k-c0xffffffff-no-rj-mo")</f>
        <v>https://yt3.ggpht.com/a/AATXAJzD7j6Ay7marL6KM_ehs2e3rfA1jI0Y6zQgfw=s88-c-k-c0xffffffff-no-rj-mo</v>
      </c>
      <c r="AL194" s="80">
        <v>1051</v>
      </c>
      <c r="AM194" s="80">
        <v>0</v>
      </c>
      <c r="AN194" s="80">
        <v>27</v>
      </c>
      <c r="AO194" s="80" t="b">
        <v>0</v>
      </c>
      <c r="AP194" s="80">
        <v>14</v>
      </c>
      <c r="AQ194" s="80"/>
      <c r="AR194" s="80"/>
      <c r="AS194" s="80" t="s">
        <v>230</v>
      </c>
      <c r="AT194" s="82" t="str">
        <f>HYPERLINK("https://www.youtube.com/channel/UChhUGANsGsgbxFeO__iXEOw")</f>
        <v>https://www.youtube.com/channel/UChhUGANsGsgbxFeO__iXEOw</v>
      </c>
      <c r="AU194" s="79" t="str">
        <f>REPLACE(INDEX(GroupVertices[Group],MATCH(Vertices[[#This Row],[Vertex]],GroupVertices[Vertex],0)),1,1,"")</f>
        <v>1</v>
      </c>
      <c r="AV194" s="48">
        <v>6</v>
      </c>
      <c r="AW194" s="49">
        <v>5.217391304347826</v>
      </c>
      <c r="AX194" s="48">
        <v>1</v>
      </c>
      <c r="AY194" s="49">
        <v>0.8695652173913043</v>
      </c>
      <c r="AZ194" s="48">
        <v>0</v>
      </c>
      <c r="BA194" s="49">
        <v>0</v>
      </c>
      <c r="BB194" s="48">
        <v>108</v>
      </c>
      <c r="BC194" s="49">
        <v>93.91304347826087</v>
      </c>
      <c r="BD194" s="48">
        <v>115</v>
      </c>
      <c r="BE194" s="48"/>
      <c r="BF194" s="48"/>
      <c r="BG194" s="48"/>
      <c r="BH194" s="48"/>
      <c r="BI194" s="2"/>
      <c r="BJ194" s="3"/>
      <c r="BK194" s="3"/>
      <c r="BL194" s="3"/>
      <c r="BM194" s="3"/>
    </row>
    <row r="195" spans="1:65" ht="15">
      <c r="A195" s="65" t="s">
        <v>1287</v>
      </c>
      <c r="B195" s="66"/>
      <c r="C195" s="66"/>
      <c r="D195" s="67">
        <v>200</v>
      </c>
      <c r="E195" s="127"/>
      <c r="F195" s="98" t="str">
        <f>HYPERLINK("https://yt3.ggpht.com/a/AATXAJwt79_0sdP2zKnckVtOqVvgqDKtvThl4VtmxA=s88-c-k-c0xffffffff-no-rj-mo")</f>
        <v>https://yt3.ggpht.com/a/AATXAJwt79_0sdP2zKnckVtOqVvgqDKtvThl4VtmxA=s88-c-k-c0xffffffff-no-rj-mo</v>
      </c>
      <c r="G195" s="128" t="s">
        <v>51</v>
      </c>
      <c r="H195" s="70" t="s">
        <v>1326</v>
      </c>
      <c r="I195" s="71"/>
      <c r="J195" s="129"/>
      <c r="K195" s="70" t="s">
        <v>1326</v>
      </c>
      <c r="L195" s="130">
        <v>1</v>
      </c>
      <c r="M195" s="75">
        <v>2079.801025390625</v>
      </c>
      <c r="N195" s="75">
        <v>7992.1171875</v>
      </c>
      <c r="O195" s="76"/>
      <c r="P195" s="77"/>
      <c r="Q195" s="77"/>
      <c r="R195" s="131"/>
      <c r="S195" s="48">
        <v>0</v>
      </c>
      <c r="T195" s="48">
        <v>0</v>
      </c>
      <c r="U195" s="49">
        <v>0</v>
      </c>
      <c r="V195" s="49">
        <v>0</v>
      </c>
      <c r="W195" s="49">
        <v>0</v>
      </c>
      <c r="X195" s="49">
        <v>0</v>
      </c>
      <c r="Y195" s="49">
        <v>0</v>
      </c>
      <c r="Z195" s="49">
        <v>0</v>
      </c>
      <c r="AA195" s="72">
        <v>195</v>
      </c>
      <c r="AB195" s="72"/>
      <c r="AC195" s="73"/>
      <c r="AD195" s="80" t="s">
        <v>1326</v>
      </c>
      <c r="AE195" s="80" t="s">
        <v>1387</v>
      </c>
      <c r="AF195" s="80"/>
      <c r="AG195" s="80"/>
      <c r="AH195" s="80"/>
      <c r="AI195" s="80"/>
      <c r="AJ195" s="84">
        <v>41352.91474537037</v>
      </c>
      <c r="AK195" s="82" t="str">
        <f>HYPERLINK("https://yt3.ggpht.com/a/AATXAJwt79_0sdP2zKnckVtOqVvgqDKtvThl4VtmxA=s88-c-k-c0xffffffff-no-rj-mo")</f>
        <v>https://yt3.ggpht.com/a/AATXAJwt79_0sdP2zKnckVtOqVvgqDKtvThl4VtmxA=s88-c-k-c0xffffffff-no-rj-mo</v>
      </c>
      <c r="AL195" s="80">
        <v>34618</v>
      </c>
      <c r="AM195" s="80">
        <v>0</v>
      </c>
      <c r="AN195" s="80">
        <v>295</v>
      </c>
      <c r="AO195" s="80" t="b">
        <v>0</v>
      </c>
      <c r="AP195" s="80">
        <v>294</v>
      </c>
      <c r="AQ195" s="80"/>
      <c r="AR195" s="80"/>
      <c r="AS195" s="80" t="s">
        <v>230</v>
      </c>
      <c r="AT195" s="82" t="str">
        <f>HYPERLINK("https://www.youtube.com/channel/UCfQvvdr6DXg5z0MuoaKISVw")</f>
        <v>https://www.youtube.com/channel/UCfQvvdr6DXg5z0MuoaKISVw</v>
      </c>
      <c r="AU195" s="79" t="str">
        <f>REPLACE(INDEX(GroupVertices[Group],MATCH(Vertices[[#This Row],[Vertex]],GroupVertices[Vertex],0)),1,1,"")</f>
        <v>1</v>
      </c>
      <c r="AV195" s="48">
        <v>0</v>
      </c>
      <c r="AW195" s="49">
        <v>0</v>
      </c>
      <c r="AX195" s="48">
        <v>0</v>
      </c>
      <c r="AY195" s="49">
        <v>0</v>
      </c>
      <c r="AZ195" s="48">
        <v>0</v>
      </c>
      <c r="BA195" s="49">
        <v>0</v>
      </c>
      <c r="BB195" s="48">
        <v>36</v>
      </c>
      <c r="BC195" s="49">
        <v>100</v>
      </c>
      <c r="BD195" s="48">
        <v>36</v>
      </c>
      <c r="BE195" s="48"/>
      <c r="BF195" s="48"/>
      <c r="BG195" s="48"/>
      <c r="BH195" s="48"/>
      <c r="BI195" s="2"/>
      <c r="BJ195" s="3"/>
      <c r="BK195" s="3"/>
      <c r="BL195" s="3"/>
      <c r="BM195" s="3"/>
    </row>
    <row r="196" spans="1:65" ht="15">
      <c r="A196" s="65" t="s">
        <v>1288</v>
      </c>
      <c r="B196" s="66"/>
      <c r="C196" s="66"/>
      <c r="D196" s="67">
        <v>200</v>
      </c>
      <c r="E196" s="127"/>
      <c r="F196" s="98" t="str">
        <f>HYPERLINK("https://yt3.ggpht.com/a/AATXAJxSAqzHxj1niqMIq_jgzmQlBJQ5zkcq_swooA=s88-c-k-c0xffffffff-no-rj-mo")</f>
        <v>https://yt3.ggpht.com/a/AATXAJxSAqzHxj1niqMIq_jgzmQlBJQ5zkcq_swooA=s88-c-k-c0xffffffff-no-rj-mo</v>
      </c>
      <c r="G196" s="128" t="s">
        <v>51</v>
      </c>
      <c r="H196" s="70" t="s">
        <v>1327</v>
      </c>
      <c r="I196" s="71"/>
      <c r="J196" s="129"/>
      <c r="K196" s="70" t="s">
        <v>1327</v>
      </c>
      <c r="L196" s="130">
        <v>1</v>
      </c>
      <c r="M196" s="75">
        <v>1523.562255859375</v>
      </c>
      <c r="N196" s="75">
        <v>7992.1171875</v>
      </c>
      <c r="O196" s="76"/>
      <c r="P196" s="77"/>
      <c r="Q196" s="77"/>
      <c r="R196" s="131"/>
      <c r="S196" s="48">
        <v>0</v>
      </c>
      <c r="T196" s="48">
        <v>0</v>
      </c>
      <c r="U196" s="49">
        <v>0</v>
      </c>
      <c r="V196" s="49">
        <v>0</v>
      </c>
      <c r="W196" s="49">
        <v>0</v>
      </c>
      <c r="X196" s="49">
        <v>0</v>
      </c>
      <c r="Y196" s="49">
        <v>0</v>
      </c>
      <c r="Z196" s="49">
        <v>0</v>
      </c>
      <c r="AA196" s="72">
        <v>196</v>
      </c>
      <c r="AB196" s="72"/>
      <c r="AC196" s="73"/>
      <c r="AD196" s="80" t="s">
        <v>1327</v>
      </c>
      <c r="AE196" s="80"/>
      <c r="AF196" s="80"/>
      <c r="AG196" s="80"/>
      <c r="AH196" s="80"/>
      <c r="AI196" s="80"/>
      <c r="AJ196" s="84">
        <v>40819.95427083333</v>
      </c>
      <c r="AK196" s="82" t="str">
        <f>HYPERLINK("https://yt3.ggpht.com/a/AATXAJxSAqzHxj1niqMIq_jgzmQlBJQ5zkcq_swooA=s88-c-k-c0xffffffff-no-rj-mo")</f>
        <v>https://yt3.ggpht.com/a/AATXAJxSAqzHxj1niqMIq_jgzmQlBJQ5zkcq_swooA=s88-c-k-c0xffffffff-no-rj-mo</v>
      </c>
      <c r="AL196" s="80">
        <v>1698</v>
      </c>
      <c r="AM196" s="80">
        <v>0</v>
      </c>
      <c r="AN196" s="80">
        <v>44</v>
      </c>
      <c r="AO196" s="80" t="b">
        <v>0</v>
      </c>
      <c r="AP196" s="80">
        <v>6</v>
      </c>
      <c r="AQ196" s="80"/>
      <c r="AR196" s="80"/>
      <c r="AS196" s="80" t="s">
        <v>230</v>
      </c>
      <c r="AT196" s="82" t="str">
        <f>HYPERLINK("https://www.youtube.com/channel/UCUuuh6NHXovJb4xF374fFOw")</f>
        <v>https://www.youtube.com/channel/UCUuuh6NHXovJb4xF374fFOw</v>
      </c>
      <c r="AU196" s="79" t="str">
        <f>REPLACE(INDEX(GroupVertices[Group],MATCH(Vertices[[#This Row],[Vertex]],GroupVertices[Vertex],0)),1,1,"")</f>
        <v>1</v>
      </c>
      <c r="AV196" s="48"/>
      <c r="AW196" s="49"/>
      <c r="AX196" s="48"/>
      <c r="AY196" s="49"/>
      <c r="AZ196" s="48"/>
      <c r="BA196" s="49"/>
      <c r="BB196" s="48"/>
      <c r="BC196" s="49"/>
      <c r="BD196" s="48"/>
      <c r="BE196" s="48"/>
      <c r="BF196" s="48"/>
      <c r="BG196" s="48"/>
      <c r="BH196" s="48"/>
      <c r="BI196" s="2"/>
      <c r="BJ196" s="3"/>
      <c r="BK196" s="3"/>
      <c r="BL196" s="3"/>
      <c r="BM196" s="3"/>
    </row>
    <row r="197" spans="1:65" ht="15">
      <c r="A197" s="65" t="s">
        <v>1289</v>
      </c>
      <c r="B197" s="66"/>
      <c r="C197" s="66"/>
      <c r="D197" s="67">
        <v>200</v>
      </c>
      <c r="E197" s="127"/>
      <c r="F197" s="98" t="str">
        <f>HYPERLINK("https://yt3.ggpht.com/a/AATXAJy6aFq7oWDF-gqQzf-2Uq3mWUPQ0SWeyBGDig=s88-c-k-c0xffffffff-no-rj-mo")</f>
        <v>https://yt3.ggpht.com/a/AATXAJy6aFq7oWDF-gqQzf-2Uq3mWUPQ0SWeyBGDig=s88-c-k-c0xffffffff-no-rj-mo</v>
      </c>
      <c r="G197" s="128" t="s">
        <v>51</v>
      </c>
      <c r="H197" s="70" t="s">
        <v>1328</v>
      </c>
      <c r="I197" s="71"/>
      <c r="J197" s="129"/>
      <c r="K197" s="70" t="s">
        <v>1328</v>
      </c>
      <c r="L197" s="130">
        <v>1</v>
      </c>
      <c r="M197" s="75">
        <v>3192.278076171875</v>
      </c>
      <c r="N197" s="75">
        <v>7992.1171875</v>
      </c>
      <c r="O197" s="76"/>
      <c r="P197" s="77"/>
      <c r="Q197" s="77"/>
      <c r="R197" s="131"/>
      <c r="S197" s="48">
        <v>0</v>
      </c>
      <c r="T197" s="48">
        <v>0</v>
      </c>
      <c r="U197" s="49">
        <v>0</v>
      </c>
      <c r="V197" s="49">
        <v>0</v>
      </c>
      <c r="W197" s="49">
        <v>0</v>
      </c>
      <c r="X197" s="49">
        <v>0</v>
      </c>
      <c r="Y197" s="49">
        <v>0</v>
      </c>
      <c r="Z197" s="49">
        <v>0</v>
      </c>
      <c r="AA197" s="72">
        <v>197</v>
      </c>
      <c r="AB197" s="72"/>
      <c r="AC197" s="73"/>
      <c r="AD197" s="80" t="s">
        <v>1328</v>
      </c>
      <c r="AE197" s="80" t="s">
        <v>1388</v>
      </c>
      <c r="AF197" s="80"/>
      <c r="AG197" s="80"/>
      <c r="AH197" s="80"/>
      <c r="AI197" s="80" t="s">
        <v>1442</v>
      </c>
      <c r="AJ197" s="84">
        <v>41140.68769675926</v>
      </c>
      <c r="AK197" s="82" t="str">
        <f>HYPERLINK("https://yt3.ggpht.com/a/AATXAJy6aFq7oWDF-gqQzf-2Uq3mWUPQ0SWeyBGDig=s88-c-k-c0xffffffff-no-rj-mo")</f>
        <v>https://yt3.ggpht.com/a/AATXAJy6aFq7oWDF-gqQzf-2Uq3mWUPQ0SWeyBGDig=s88-c-k-c0xffffffff-no-rj-mo</v>
      </c>
      <c r="AL197" s="80">
        <v>4063</v>
      </c>
      <c r="AM197" s="80">
        <v>0</v>
      </c>
      <c r="AN197" s="80">
        <v>329</v>
      </c>
      <c r="AO197" s="80" t="b">
        <v>0</v>
      </c>
      <c r="AP197" s="80">
        <v>27</v>
      </c>
      <c r="AQ197" s="80"/>
      <c r="AR197" s="80"/>
      <c r="AS197" s="80" t="s">
        <v>230</v>
      </c>
      <c r="AT197" s="82" t="str">
        <f>HYPERLINK("https://www.youtube.com/channel/UCfXiJFEcztTpMmEDT0I8cPg")</f>
        <v>https://www.youtube.com/channel/UCfXiJFEcztTpMmEDT0I8cPg</v>
      </c>
      <c r="AU197" s="79" t="str">
        <f>REPLACE(INDEX(GroupVertices[Group],MATCH(Vertices[[#This Row],[Vertex]],GroupVertices[Vertex],0)),1,1,"")</f>
        <v>1</v>
      </c>
      <c r="AV197" s="48">
        <v>2</v>
      </c>
      <c r="AW197" s="49">
        <v>5.405405405405405</v>
      </c>
      <c r="AX197" s="48">
        <v>0</v>
      </c>
      <c r="AY197" s="49">
        <v>0</v>
      </c>
      <c r="AZ197" s="48">
        <v>0</v>
      </c>
      <c r="BA197" s="49">
        <v>0</v>
      </c>
      <c r="BB197" s="48">
        <v>35</v>
      </c>
      <c r="BC197" s="49">
        <v>94.5945945945946</v>
      </c>
      <c r="BD197" s="48">
        <v>37</v>
      </c>
      <c r="BE197" s="48"/>
      <c r="BF197" s="48"/>
      <c r="BG197" s="48"/>
      <c r="BH197" s="48"/>
      <c r="BI197" s="2"/>
      <c r="BJ197" s="3"/>
      <c r="BK197" s="3"/>
      <c r="BL197" s="3"/>
      <c r="BM197" s="3"/>
    </row>
    <row r="198" spans="1:65" ht="15">
      <c r="A198" s="65" t="s">
        <v>1290</v>
      </c>
      <c r="B198" s="66"/>
      <c r="C198" s="66"/>
      <c r="D198" s="67">
        <v>200</v>
      </c>
      <c r="E198" s="127"/>
      <c r="F198" s="98" t="str">
        <f>HYPERLINK("https://yt3.ggpht.com/a/AATXAJwkLgD9llcA5SsGp8O5Q7TELhfy2bKALAiE_g=s88-c-k-c0xffffffff-no-rj-mo")</f>
        <v>https://yt3.ggpht.com/a/AATXAJwkLgD9llcA5SsGp8O5Q7TELhfy2bKALAiE_g=s88-c-k-c0xffffffff-no-rj-mo</v>
      </c>
      <c r="G198" s="128" t="s">
        <v>51</v>
      </c>
      <c r="H198" s="70" t="s">
        <v>1329</v>
      </c>
      <c r="I198" s="71"/>
      <c r="J198" s="129"/>
      <c r="K198" s="70" t="s">
        <v>1329</v>
      </c>
      <c r="L198" s="130">
        <v>1</v>
      </c>
      <c r="M198" s="75">
        <v>2636.03955078125</v>
      </c>
      <c r="N198" s="75">
        <v>7992.1171875</v>
      </c>
      <c r="O198" s="76"/>
      <c r="P198" s="77"/>
      <c r="Q198" s="77"/>
      <c r="R198" s="131"/>
      <c r="S198" s="48">
        <v>0</v>
      </c>
      <c r="T198" s="48">
        <v>0</v>
      </c>
      <c r="U198" s="49">
        <v>0</v>
      </c>
      <c r="V198" s="49">
        <v>0</v>
      </c>
      <c r="W198" s="49">
        <v>0</v>
      </c>
      <c r="X198" s="49">
        <v>0</v>
      </c>
      <c r="Y198" s="49">
        <v>0</v>
      </c>
      <c r="Z198" s="49">
        <v>0</v>
      </c>
      <c r="AA198" s="72">
        <v>198</v>
      </c>
      <c r="AB198" s="72"/>
      <c r="AC198" s="73"/>
      <c r="AD198" s="80" t="s">
        <v>1329</v>
      </c>
      <c r="AE198" s="80" t="s">
        <v>1389</v>
      </c>
      <c r="AF198" s="80"/>
      <c r="AG198" s="80"/>
      <c r="AH198" s="80"/>
      <c r="AI198" s="80" t="s">
        <v>1443</v>
      </c>
      <c r="AJ198" s="84">
        <v>39848.820868055554</v>
      </c>
      <c r="AK198" s="82" t="str">
        <f>HYPERLINK("https://yt3.ggpht.com/a/AATXAJwkLgD9llcA5SsGp8O5Q7TELhfy2bKALAiE_g=s88-c-k-c0xffffffff-no-rj-mo")</f>
        <v>https://yt3.ggpht.com/a/AATXAJwkLgD9llcA5SsGp8O5Q7TELhfy2bKALAiE_g=s88-c-k-c0xffffffff-no-rj-mo</v>
      </c>
      <c r="AL198" s="80">
        <v>5462364</v>
      </c>
      <c r="AM198" s="80">
        <v>0</v>
      </c>
      <c r="AN198" s="80">
        <v>32100</v>
      </c>
      <c r="AO198" s="80" t="b">
        <v>0</v>
      </c>
      <c r="AP198" s="80">
        <v>1568</v>
      </c>
      <c r="AQ198" s="80"/>
      <c r="AR198" s="80"/>
      <c r="AS198" s="80" t="s">
        <v>230</v>
      </c>
      <c r="AT198" s="82" t="str">
        <f>HYPERLINK("https://www.youtube.com/channel/UC5CugyvTdOloiuTc9nN09TA")</f>
        <v>https://www.youtube.com/channel/UC5CugyvTdOloiuTc9nN09TA</v>
      </c>
      <c r="AU198" s="79" t="str">
        <f>REPLACE(INDEX(GroupVertices[Group],MATCH(Vertices[[#This Row],[Vertex]],GroupVertices[Vertex],0)),1,1,"")</f>
        <v>1</v>
      </c>
      <c r="AV198" s="48">
        <v>4</v>
      </c>
      <c r="AW198" s="49">
        <v>8.16326530612245</v>
      </c>
      <c r="AX198" s="48">
        <v>0</v>
      </c>
      <c r="AY198" s="49">
        <v>0</v>
      </c>
      <c r="AZ198" s="48">
        <v>0</v>
      </c>
      <c r="BA198" s="49">
        <v>0</v>
      </c>
      <c r="BB198" s="48">
        <v>45</v>
      </c>
      <c r="BC198" s="49">
        <v>91.83673469387755</v>
      </c>
      <c r="BD198" s="48">
        <v>49</v>
      </c>
      <c r="BE198" s="48"/>
      <c r="BF198" s="48"/>
      <c r="BG198" s="48"/>
      <c r="BH198" s="48"/>
      <c r="BI198" s="2"/>
      <c r="BJ198" s="3"/>
      <c r="BK198" s="3"/>
      <c r="BL198" s="3"/>
      <c r="BM198" s="3"/>
    </row>
    <row r="199" spans="1:65" ht="15">
      <c r="A199" s="65" t="s">
        <v>1291</v>
      </c>
      <c r="B199" s="66"/>
      <c r="C199" s="66"/>
      <c r="D199" s="67">
        <v>200</v>
      </c>
      <c r="E199" s="127"/>
      <c r="F199" s="98" t="str">
        <f>HYPERLINK("https://yt3.ggpht.com/a/AATXAJwMzSiJ6FeI4fgZhS_DoEcsfLJaxc8gNAFhTQ=s88-c-k-c0xffffffff-no-rj-mo")</f>
        <v>https://yt3.ggpht.com/a/AATXAJwMzSiJ6FeI4fgZhS_DoEcsfLJaxc8gNAFhTQ=s88-c-k-c0xffffffff-no-rj-mo</v>
      </c>
      <c r="G199" s="128" t="s">
        <v>51</v>
      </c>
      <c r="H199" s="70" t="s">
        <v>1330</v>
      </c>
      <c r="I199" s="71"/>
      <c r="J199" s="129"/>
      <c r="K199" s="70" t="s">
        <v>1330</v>
      </c>
      <c r="L199" s="130">
        <v>1</v>
      </c>
      <c r="M199" s="75">
        <v>967.323486328125</v>
      </c>
      <c r="N199" s="75">
        <v>7992.1171875</v>
      </c>
      <c r="O199" s="76"/>
      <c r="P199" s="77"/>
      <c r="Q199" s="77"/>
      <c r="R199" s="131"/>
      <c r="S199" s="48">
        <v>0</v>
      </c>
      <c r="T199" s="48">
        <v>0</v>
      </c>
      <c r="U199" s="49">
        <v>0</v>
      </c>
      <c r="V199" s="49">
        <v>0</v>
      </c>
      <c r="W199" s="49">
        <v>0</v>
      </c>
      <c r="X199" s="49">
        <v>0</v>
      </c>
      <c r="Y199" s="49">
        <v>0</v>
      </c>
      <c r="Z199" s="49">
        <v>0</v>
      </c>
      <c r="AA199" s="72">
        <v>199</v>
      </c>
      <c r="AB199" s="72"/>
      <c r="AC199" s="73"/>
      <c r="AD199" s="80" t="s">
        <v>1330</v>
      </c>
      <c r="AE199" s="80" t="s">
        <v>1390</v>
      </c>
      <c r="AF199" s="80"/>
      <c r="AG199" s="80"/>
      <c r="AH199" s="80"/>
      <c r="AI199" s="80" t="s">
        <v>1444</v>
      </c>
      <c r="AJ199" s="84">
        <v>41405.22523148148</v>
      </c>
      <c r="AK199" s="82" t="str">
        <f>HYPERLINK("https://yt3.ggpht.com/a/AATXAJwMzSiJ6FeI4fgZhS_DoEcsfLJaxc8gNAFhTQ=s88-c-k-c0xffffffff-no-rj-mo")</f>
        <v>https://yt3.ggpht.com/a/AATXAJwMzSiJ6FeI4fgZhS_DoEcsfLJaxc8gNAFhTQ=s88-c-k-c0xffffffff-no-rj-mo</v>
      </c>
      <c r="AL199" s="80">
        <v>2786711</v>
      </c>
      <c r="AM199" s="80">
        <v>0</v>
      </c>
      <c r="AN199" s="80">
        <v>33800</v>
      </c>
      <c r="AO199" s="80" t="b">
        <v>0</v>
      </c>
      <c r="AP199" s="80">
        <v>260</v>
      </c>
      <c r="AQ199" s="80"/>
      <c r="AR199" s="80"/>
      <c r="AS199" s="80" t="s">
        <v>230</v>
      </c>
      <c r="AT199" s="82" t="str">
        <f>HYPERLINK("https://www.youtube.com/channel/UCvfxanLbaBE3QxZr-PU5vyQ")</f>
        <v>https://www.youtube.com/channel/UCvfxanLbaBE3QxZr-PU5vyQ</v>
      </c>
      <c r="AU199" s="79" t="str">
        <f>REPLACE(INDEX(GroupVertices[Group],MATCH(Vertices[[#This Row],[Vertex]],GroupVertices[Vertex],0)),1,1,"")</f>
        <v>1</v>
      </c>
      <c r="AV199" s="48">
        <v>3</v>
      </c>
      <c r="AW199" s="49">
        <v>3.7974683544303796</v>
      </c>
      <c r="AX199" s="48">
        <v>0</v>
      </c>
      <c r="AY199" s="49">
        <v>0</v>
      </c>
      <c r="AZ199" s="48">
        <v>0</v>
      </c>
      <c r="BA199" s="49">
        <v>0</v>
      </c>
      <c r="BB199" s="48">
        <v>76</v>
      </c>
      <c r="BC199" s="49">
        <v>96.20253164556962</v>
      </c>
      <c r="BD199" s="48">
        <v>79</v>
      </c>
      <c r="BE199" s="48"/>
      <c r="BF199" s="48"/>
      <c r="BG199" s="48"/>
      <c r="BH199" s="48"/>
      <c r="BI199" s="2"/>
      <c r="BJ199" s="3"/>
      <c r="BK199" s="3"/>
      <c r="BL199" s="3"/>
      <c r="BM199" s="3"/>
    </row>
    <row r="200" spans="1:65" ht="15">
      <c r="A200" s="65" t="s">
        <v>1292</v>
      </c>
      <c r="B200" s="66"/>
      <c r="C200" s="66"/>
      <c r="D200" s="67">
        <v>200</v>
      </c>
      <c r="E200" s="127"/>
      <c r="F200" s="98" t="str">
        <f>HYPERLINK("https://yt3.ggpht.com/a/AATXAJyeYwhlgqNtPo0yETIZIJnoH2oO18zGbpw5jw=s88-c-k-c0xffffffff-no-rj-mo")</f>
        <v>https://yt3.ggpht.com/a/AATXAJyeYwhlgqNtPo0yETIZIJnoH2oO18zGbpw5jw=s88-c-k-c0xffffffff-no-rj-mo</v>
      </c>
      <c r="G200" s="128" t="s">
        <v>51</v>
      </c>
      <c r="H200" s="70" t="s">
        <v>1331</v>
      </c>
      <c r="I200" s="71"/>
      <c r="J200" s="129"/>
      <c r="K200" s="70" t="s">
        <v>1331</v>
      </c>
      <c r="L200" s="130">
        <v>1</v>
      </c>
      <c r="M200" s="75">
        <v>2636.03955078125</v>
      </c>
      <c r="N200" s="75">
        <v>8712.234375</v>
      </c>
      <c r="O200" s="76"/>
      <c r="P200" s="77"/>
      <c r="Q200" s="77"/>
      <c r="R200" s="131"/>
      <c r="S200" s="48">
        <v>0</v>
      </c>
      <c r="T200" s="48">
        <v>0</v>
      </c>
      <c r="U200" s="49">
        <v>0</v>
      </c>
      <c r="V200" s="49">
        <v>0</v>
      </c>
      <c r="W200" s="49">
        <v>0</v>
      </c>
      <c r="X200" s="49">
        <v>0</v>
      </c>
      <c r="Y200" s="49">
        <v>0</v>
      </c>
      <c r="Z200" s="49">
        <v>0</v>
      </c>
      <c r="AA200" s="72">
        <v>200</v>
      </c>
      <c r="AB200" s="72"/>
      <c r="AC200" s="73"/>
      <c r="AD200" s="80" t="s">
        <v>1331</v>
      </c>
      <c r="AE200" s="80" t="s">
        <v>1391</v>
      </c>
      <c r="AF200" s="80"/>
      <c r="AG200" s="80"/>
      <c r="AH200" s="80"/>
      <c r="AI200" s="80" t="s">
        <v>1331</v>
      </c>
      <c r="AJ200" s="84">
        <v>43598.34873842593</v>
      </c>
      <c r="AK200" s="82" t="str">
        <f>HYPERLINK("https://yt3.ggpht.com/a/AATXAJyeYwhlgqNtPo0yETIZIJnoH2oO18zGbpw5jw=s88-c-k-c0xffffffff-no-rj-mo")</f>
        <v>https://yt3.ggpht.com/a/AATXAJyeYwhlgqNtPo0yETIZIJnoH2oO18zGbpw5jw=s88-c-k-c0xffffffff-no-rj-mo</v>
      </c>
      <c r="AL200" s="80">
        <v>339877</v>
      </c>
      <c r="AM200" s="80">
        <v>0</v>
      </c>
      <c r="AN200" s="80">
        <v>18600</v>
      </c>
      <c r="AO200" s="80" t="b">
        <v>0</v>
      </c>
      <c r="AP200" s="80">
        <v>118</v>
      </c>
      <c r="AQ200" s="80"/>
      <c r="AR200" s="80"/>
      <c r="AS200" s="80" t="s">
        <v>230</v>
      </c>
      <c r="AT200" s="82" t="str">
        <f>HYPERLINK("https://www.youtube.com/channel/UC6DnLOwz8R0iZPmkZ3vMM1g")</f>
        <v>https://www.youtube.com/channel/UC6DnLOwz8R0iZPmkZ3vMM1g</v>
      </c>
      <c r="AU200" s="79" t="str">
        <f>REPLACE(INDEX(GroupVertices[Group],MATCH(Vertices[[#This Row],[Vertex]],GroupVertices[Vertex],0)),1,1,"")</f>
        <v>1</v>
      </c>
      <c r="AV200" s="48">
        <v>0</v>
      </c>
      <c r="AW200" s="49">
        <v>0</v>
      </c>
      <c r="AX200" s="48">
        <v>0</v>
      </c>
      <c r="AY200" s="49">
        <v>0</v>
      </c>
      <c r="AZ200" s="48">
        <v>0</v>
      </c>
      <c r="BA200" s="49">
        <v>0</v>
      </c>
      <c r="BB200" s="48">
        <v>59</v>
      </c>
      <c r="BC200" s="49">
        <v>100</v>
      </c>
      <c r="BD200" s="48">
        <v>59</v>
      </c>
      <c r="BE200" s="48"/>
      <c r="BF200" s="48"/>
      <c r="BG200" s="48"/>
      <c r="BH200" s="48"/>
      <c r="BI200" s="2"/>
      <c r="BJ200" s="3"/>
      <c r="BK200" s="3"/>
      <c r="BL200" s="3"/>
      <c r="BM200" s="3"/>
    </row>
    <row r="201" spans="1:65" ht="15">
      <c r="A201" s="65" t="s">
        <v>1293</v>
      </c>
      <c r="B201" s="66"/>
      <c r="C201" s="66"/>
      <c r="D201" s="67">
        <v>200</v>
      </c>
      <c r="E201" s="127"/>
      <c r="F201" s="98" t="str">
        <f>HYPERLINK("https://yt3.ggpht.com/a/AATXAJybxV-zBSaGpOZ3W7orwKJ25bLFobBY97uLUA=s88-c-k-c0xffffffff-no-rj-mo")</f>
        <v>https://yt3.ggpht.com/a/AATXAJybxV-zBSaGpOZ3W7orwKJ25bLFobBY97uLUA=s88-c-k-c0xffffffff-no-rj-mo</v>
      </c>
      <c r="G201" s="128" t="s">
        <v>51</v>
      </c>
      <c r="H201" s="70" t="s">
        <v>1332</v>
      </c>
      <c r="I201" s="71"/>
      <c r="J201" s="129"/>
      <c r="K201" s="70" t="s">
        <v>1332</v>
      </c>
      <c r="L201" s="130">
        <v>1</v>
      </c>
      <c r="M201" s="75">
        <v>2079.801025390625</v>
      </c>
      <c r="N201" s="75">
        <v>8712.234375</v>
      </c>
      <c r="O201" s="76"/>
      <c r="P201" s="77"/>
      <c r="Q201" s="77"/>
      <c r="R201" s="131"/>
      <c r="S201" s="48">
        <v>0</v>
      </c>
      <c r="T201" s="48">
        <v>0</v>
      </c>
      <c r="U201" s="49">
        <v>0</v>
      </c>
      <c r="V201" s="49">
        <v>0</v>
      </c>
      <c r="W201" s="49">
        <v>0</v>
      </c>
      <c r="X201" s="49">
        <v>0</v>
      </c>
      <c r="Y201" s="49">
        <v>0</v>
      </c>
      <c r="Z201" s="49">
        <v>0</v>
      </c>
      <c r="AA201" s="72">
        <v>201</v>
      </c>
      <c r="AB201" s="72"/>
      <c r="AC201" s="73"/>
      <c r="AD201" s="80" t="s">
        <v>1332</v>
      </c>
      <c r="AE201" s="80" t="s">
        <v>1392</v>
      </c>
      <c r="AF201" s="80"/>
      <c r="AG201" s="80"/>
      <c r="AH201" s="80"/>
      <c r="AI201" s="80" t="s">
        <v>1445</v>
      </c>
      <c r="AJ201" s="84">
        <v>39046.15304398148</v>
      </c>
      <c r="AK201" s="82" t="str">
        <f>HYPERLINK("https://yt3.ggpht.com/a/AATXAJybxV-zBSaGpOZ3W7orwKJ25bLFobBY97uLUA=s88-c-k-c0xffffffff-no-rj-mo")</f>
        <v>https://yt3.ggpht.com/a/AATXAJybxV-zBSaGpOZ3W7orwKJ25bLFobBY97uLUA=s88-c-k-c0xffffffff-no-rj-mo</v>
      </c>
      <c r="AL201" s="80">
        <v>242137</v>
      </c>
      <c r="AM201" s="80">
        <v>0</v>
      </c>
      <c r="AN201" s="80">
        <v>2900</v>
      </c>
      <c r="AO201" s="80" t="b">
        <v>0</v>
      </c>
      <c r="AP201" s="80">
        <v>112</v>
      </c>
      <c r="AQ201" s="80"/>
      <c r="AR201" s="80"/>
      <c r="AS201" s="80" t="s">
        <v>230</v>
      </c>
      <c r="AT201" s="82" t="str">
        <f>HYPERLINK("https://www.youtube.com/channel/UCasv6yWENVQcyAYlS5hJwuw")</f>
        <v>https://www.youtube.com/channel/UCasv6yWENVQcyAYlS5hJwuw</v>
      </c>
      <c r="AU201" s="79" t="str">
        <f>REPLACE(INDEX(GroupVertices[Group],MATCH(Vertices[[#This Row],[Vertex]],GroupVertices[Vertex],0)),1,1,"")</f>
        <v>1</v>
      </c>
      <c r="AV201" s="48">
        <v>0</v>
      </c>
      <c r="AW201" s="49">
        <v>0</v>
      </c>
      <c r="AX201" s="48">
        <v>0</v>
      </c>
      <c r="AY201" s="49">
        <v>0</v>
      </c>
      <c r="AZ201" s="48">
        <v>0</v>
      </c>
      <c r="BA201" s="49">
        <v>0</v>
      </c>
      <c r="BB201" s="48">
        <v>24</v>
      </c>
      <c r="BC201" s="49">
        <v>100</v>
      </c>
      <c r="BD201" s="48">
        <v>24</v>
      </c>
      <c r="BE201" s="48"/>
      <c r="BF201" s="48"/>
      <c r="BG201" s="48"/>
      <c r="BH201" s="48"/>
      <c r="BI201" s="2"/>
      <c r="BJ201" s="3"/>
      <c r="BK201" s="3"/>
      <c r="BL201" s="3"/>
      <c r="BM201" s="3"/>
    </row>
    <row r="202" spans="1:65" ht="15">
      <c r="A202" s="65" t="s">
        <v>1294</v>
      </c>
      <c r="B202" s="66"/>
      <c r="C202" s="66"/>
      <c r="D202" s="67">
        <v>200</v>
      </c>
      <c r="E202" s="127"/>
      <c r="F202" s="98" t="str">
        <f>HYPERLINK("https://yt3.ggpht.com/a/AATXAJzuhDi0kpldcFhJXmvQNiIX9vDjNtXRpLhU3w=s88-c-k-c0xffffffff-no-rj-mo")</f>
        <v>https://yt3.ggpht.com/a/AATXAJzuhDi0kpldcFhJXmvQNiIX9vDjNtXRpLhU3w=s88-c-k-c0xffffffff-no-rj-mo</v>
      </c>
      <c r="G202" s="128" t="s">
        <v>51</v>
      </c>
      <c r="H202" s="70" t="s">
        <v>1333</v>
      </c>
      <c r="I202" s="71"/>
      <c r="J202" s="129"/>
      <c r="K202" s="70" t="s">
        <v>1333</v>
      </c>
      <c r="L202" s="130">
        <v>1</v>
      </c>
      <c r="M202" s="75">
        <v>411.08477783203125</v>
      </c>
      <c r="N202" s="75">
        <v>7992.1171875</v>
      </c>
      <c r="O202" s="76"/>
      <c r="P202" s="77"/>
      <c r="Q202" s="77"/>
      <c r="R202" s="131"/>
      <c r="S202" s="48">
        <v>0</v>
      </c>
      <c r="T202" s="48">
        <v>0</v>
      </c>
      <c r="U202" s="49">
        <v>0</v>
      </c>
      <c r="V202" s="49">
        <v>0</v>
      </c>
      <c r="W202" s="49">
        <v>0</v>
      </c>
      <c r="X202" s="49">
        <v>0</v>
      </c>
      <c r="Y202" s="49">
        <v>0</v>
      </c>
      <c r="Z202" s="49">
        <v>0</v>
      </c>
      <c r="AA202" s="72">
        <v>202</v>
      </c>
      <c r="AB202" s="72"/>
      <c r="AC202" s="73"/>
      <c r="AD202" s="80" t="s">
        <v>1333</v>
      </c>
      <c r="AE202" s="80" t="s">
        <v>1393</v>
      </c>
      <c r="AF202" s="80"/>
      <c r="AG202" s="80"/>
      <c r="AH202" s="80"/>
      <c r="AI202" s="80"/>
      <c r="AJ202" s="84">
        <v>40744.05211805556</v>
      </c>
      <c r="AK202" s="82" t="str">
        <f>HYPERLINK("https://yt3.ggpht.com/a/AATXAJzuhDi0kpldcFhJXmvQNiIX9vDjNtXRpLhU3w=s88-c-k-c0xffffffff-no-rj-mo")</f>
        <v>https://yt3.ggpht.com/a/AATXAJzuhDi0kpldcFhJXmvQNiIX9vDjNtXRpLhU3w=s88-c-k-c0xffffffff-no-rj-mo</v>
      </c>
      <c r="AL202" s="80">
        <v>168859</v>
      </c>
      <c r="AM202" s="80">
        <v>0</v>
      </c>
      <c r="AN202" s="80">
        <v>2380</v>
      </c>
      <c r="AO202" s="80" t="b">
        <v>0</v>
      </c>
      <c r="AP202" s="80">
        <v>42</v>
      </c>
      <c r="AQ202" s="80"/>
      <c r="AR202" s="80"/>
      <c r="AS202" s="80" t="s">
        <v>230</v>
      </c>
      <c r="AT202" s="82" t="str">
        <f>HYPERLINK("https://www.youtube.com/channel/UClx37i2cm-CotklDUfWTNHw")</f>
        <v>https://www.youtube.com/channel/UClx37i2cm-CotklDUfWTNHw</v>
      </c>
      <c r="AU202" s="79" t="str">
        <f>REPLACE(INDEX(GroupVertices[Group],MATCH(Vertices[[#This Row],[Vertex]],GroupVertices[Vertex],0)),1,1,"")</f>
        <v>1</v>
      </c>
      <c r="AV202" s="48">
        <v>0</v>
      </c>
      <c r="AW202" s="49">
        <v>0</v>
      </c>
      <c r="AX202" s="48">
        <v>0</v>
      </c>
      <c r="AY202" s="49">
        <v>0</v>
      </c>
      <c r="AZ202" s="48">
        <v>0</v>
      </c>
      <c r="BA202" s="49">
        <v>0</v>
      </c>
      <c r="BB202" s="48">
        <v>12</v>
      </c>
      <c r="BC202" s="49">
        <v>100</v>
      </c>
      <c r="BD202" s="48">
        <v>12</v>
      </c>
      <c r="BE202" s="48"/>
      <c r="BF202" s="48"/>
      <c r="BG202" s="48"/>
      <c r="BH202" s="48"/>
      <c r="BI202" s="2"/>
      <c r="BJ202" s="3"/>
      <c r="BK202" s="3"/>
      <c r="BL202" s="3"/>
      <c r="BM202" s="3"/>
    </row>
    <row r="203" spans="1:65" ht="15">
      <c r="A203" s="65" t="s">
        <v>1295</v>
      </c>
      <c r="B203" s="66"/>
      <c r="C203" s="66"/>
      <c r="D203" s="67">
        <v>200</v>
      </c>
      <c r="E203" s="127"/>
      <c r="F203" s="98" t="str">
        <f>HYPERLINK("https://yt3.ggpht.com/a/AATXAJyCk-wx-pO_054Is5-LI4F-yTvUOEhP-wvJBw=s88-c-k-c0xffffffff-no-rj-mo")</f>
        <v>https://yt3.ggpht.com/a/AATXAJyCk-wx-pO_054Is5-LI4F-yTvUOEhP-wvJBw=s88-c-k-c0xffffffff-no-rj-mo</v>
      </c>
      <c r="G203" s="128" t="s">
        <v>51</v>
      </c>
      <c r="H203" s="70" t="s">
        <v>1334</v>
      </c>
      <c r="I203" s="71"/>
      <c r="J203" s="129"/>
      <c r="K203" s="70" t="s">
        <v>1334</v>
      </c>
      <c r="L203" s="130">
        <v>1</v>
      </c>
      <c r="M203" s="75">
        <v>3192.278076171875</v>
      </c>
      <c r="N203" s="75">
        <v>8712.234375</v>
      </c>
      <c r="O203" s="76"/>
      <c r="P203" s="77"/>
      <c r="Q203" s="77"/>
      <c r="R203" s="131"/>
      <c r="S203" s="48">
        <v>0</v>
      </c>
      <c r="T203" s="48">
        <v>0</v>
      </c>
      <c r="U203" s="49">
        <v>0</v>
      </c>
      <c r="V203" s="49">
        <v>0</v>
      </c>
      <c r="W203" s="49">
        <v>0</v>
      </c>
      <c r="X203" s="49">
        <v>0</v>
      </c>
      <c r="Y203" s="49">
        <v>0</v>
      </c>
      <c r="Z203" s="49">
        <v>0</v>
      </c>
      <c r="AA203" s="72">
        <v>203</v>
      </c>
      <c r="AB203" s="72"/>
      <c r="AC203" s="73"/>
      <c r="AD203" s="80" t="s">
        <v>1334</v>
      </c>
      <c r="AE203" s="80" t="s">
        <v>1394</v>
      </c>
      <c r="AF203" s="80"/>
      <c r="AG203" s="80"/>
      <c r="AH203" s="80"/>
      <c r="AI203" s="80" t="s">
        <v>1446</v>
      </c>
      <c r="AJ203" s="84">
        <v>40612.303564814814</v>
      </c>
      <c r="AK203" s="82" t="str">
        <f>HYPERLINK("https://yt3.ggpht.com/a/AATXAJyCk-wx-pO_054Is5-LI4F-yTvUOEhP-wvJBw=s88-c-k-c0xffffffff-no-rj-mo")</f>
        <v>https://yt3.ggpht.com/a/AATXAJyCk-wx-pO_054Is5-LI4F-yTvUOEhP-wvJBw=s88-c-k-c0xffffffff-no-rj-mo</v>
      </c>
      <c r="AL203" s="80">
        <v>6428084</v>
      </c>
      <c r="AM203" s="80">
        <v>0</v>
      </c>
      <c r="AN203" s="80">
        <v>27600</v>
      </c>
      <c r="AO203" s="80" t="b">
        <v>0</v>
      </c>
      <c r="AP203" s="80">
        <v>742</v>
      </c>
      <c r="AQ203" s="80"/>
      <c r="AR203" s="80"/>
      <c r="AS203" s="80" t="s">
        <v>230</v>
      </c>
      <c r="AT203" s="82" t="str">
        <f>HYPERLINK("https://www.youtube.com/channel/UCn_HqolLo2QdgOxcCbaLEYQ")</f>
        <v>https://www.youtube.com/channel/UCn_HqolLo2QdgOxcCbaLEYQ</v>
      </c>
      <c r="AU203" s="79" t="str">
        <f>REPLACE(INDEX(GroupVertices[Group],MATCH(Vertices[[#This Row],[Vertex]],GroupVertices[Vertex],0)),1,1,"")</f>
        <v>1</v>
      </c>
      <c r="AV203" s="48">
        <v>0</v>
      </c>
      <c r="AW203" s="49">
        <v>0</v>
      </c>
      <c r="AX203" s="48">
        <v>0</v>
      </c>
      <c r="AY203" s="49">
        <v>0</v>
      </c>
      <c r="AZ203" s="48">
        <v>0</v>
      </c>
      <c r="BA203" s="49">
        <v>0</v>
      </c>
      <c r="BB203" s="48">
        <v>80</v>
      </c>
      <c r="BC203" s="49">
        <v>100</v>
      </c>
      <c r="BD203" s="48">
        <v>80</v>
      </c>
      <c r="BE203" s="48"/>
      <c r="BF203" s="48"/>
      <c r="BG203" s="48"/>
      <c r="BH203" s="48"/>
      <c r="BI203" s="2"/>
      <c r="BJ203" s="3"/>
      <c r="BK203" s="3"/>
      <c r="BL203" s="3"/>
      <c r="BM203" s="3"/>
    </row>
    <row r="204" spans="1:65" ht="15">
      <c r="A204" s="85" t="s">
        <v>1296</v>
      </c>
      <c r="B204" s="86"/>
      <c r="C204" s="86"/>
      <c r="D204" s="87">
        <v>200</v>
      </c>
      <c r="E204" s="88"/>
      <c r="F204" s="99" t="str">
        <f>HYPERLINK("https://yt3.ggpht.com/a/AATXAJxSOkRiXA2WT2OuPi9VwvsmP279WvaYRMMIDQ4u=s88-c-k-c0xffffffff-no-rj-mo")</f>
        <v>https://yt3.ggpht.com/a/AATXAJxSOkRiXA2WT2OuPi9VwvsmP279WvaYRMMIDQ4u=s88-c-k-c0xffffffff-no-rj-mo</v>
      </c>
      <c r="G204" s="86" t="s">
        <v>51</v>
      </c>
      <c r="H204" s="89" t="s">
        <v>1335</v>
      </c>
      <c r="I204" s="90"/>
      <c r="J204" s="90"/>
      <c r="K204" s="89" t="s">
        <v>1335</v>
      </c>
      <c r="L204" s="91">
        <v>1</v>
      </c>
      <c r="M204" s="92">
        <v>411.08477783203125</v>
      </c>
      <c r="N204" s="92">
        <v>7272</v>
      </c>
      <c r="O204" s="93"/>
      <c r="P204" s="94"/>
      <c r="Q204" s="94"/>
      <c r="R204" s="95"/>
      <c r="S204" s="48">
        <v>0</v>
      </c>
      <c r="T204" s="48">
        <v>0</v>
      </c>
      <c r="U204" s="49">
        <v>0</v>
      </c>
      <c r="V204" s="49">
        <v>0</v>
      </c>
      <c r="W204" s="49">
        <v>0</v>
      </c>
      <c r="X204" s="49">
        <v>0</v>
      </c>
      <c r="Y204" s="49">
        <v>0</v>
      </c>
      <c r="Z204" s="49">
        <v>0</v>
      </c>
      <c r="AA204" s="96">
        <v>204</v>
      </c>
      <c r="AB204" s="96"/>
      <c r="AC204" s="97"/>
      <c r="AD204" s="132" t="s">
        <v>1335</v>
      </c>
      <c r="AE204" s="132" t="s">
        <v>1395</v>
      </c>
      <c r="AF204" s="132"/>
      <c r="AG204" s="132"/>
      <c r="AH204" s="132"/>
      <c r="AI204" s="132" t="s">
        <v>1447</v>
      </c>
      <c r="AJ204" s="133">
        <v>43933.89572916667</v>
      </c>
      <c r="AK204" s="134" t="str">
        <f>HYPERLINK("https://yt3.ggpht.com/a/AATXAJxSOkRiXA2WT2OuPi9VwvsmP279WvaYRMMIDQ4u=s88-c-k-c0xffffffff-no-rj-mo")</f>
        <v>https://yt3.ggpht.com/a/AATXAJxSOkRiXA2WT2OuPi9VwvsmP279WvaYRMMIDQ4u=s88-c-k-c0xffffffff-no-rj-mo</v>
      </c>
      <c r="AL204" s="132">
        <v>3495</v>
      </c>
      <c r="AM204" s="132">
        <v>0</v>
      </c>
      <c r="AN204" s="132">
        <v>251</v>
      </c>
      <c r="AO204" s="132" t="b">
        <v>0</v>
      </c>
      <c r="AP204" s="132">
        <v>15</v>
      </c>
      <c r="AQ204" s="132"/>
      <c r="AR204" s="132"/>
      <c r="AS204" s="132" t="s">
        <v>230</v>
      </c>
      <c r="AT204" s="134" t="str">
        <f>HYPERLINK("https://www.youtube.com/channel/UC3tHGWrRewOoNkvf8STvN-w")</f>
        <v>https://www.youtube.com/channel/UC3tHGWrRewOoNkvf8STvN-w</v>
      </c>
      <c r="AU204" s="79" t="str">
        <f>REPLACE(INDEX(GroupVertices[Group],MATCH(Vertices[[#This Row],[Vertex]],GroupVertices[Vertex],0)),1,1,"")</f>
        <v>1</v>
      </c>
      <c r="AV204" s="48">
        <v>1</v>
      </c>
      <c r="AW204" s="49">
        <v>2.0833333333333335</v>
      </c>
      <c r="AX204" s="48">
        <v>0</v>
      </c>
      <c r="AY204" s="49">
        <v>0</v>
      </c>
      <c r="AZ204" s="48">
        <v>0</v>
      </c>
      <c r="BA204" s="49">
        <v>0</v>
      </c>
      <c r="BB204" s="48">
        <v>47</v>
      </c>
      <c r="BC204" s="49">
        <v>97.91666666666667</v>
      </c>
      <c r="BD204" s="48">
        <v>48</v>
      </c>
      <c r="BE204" s="48"/>
      <c r="BF204" s="48"/>
      <c r="BG204" s="48"/>
      <c r="BH204" s="48"/>
      <c r="BI204" s="2"/>
      <c r="BJ204" s="3"/>
      <c r="BK204" s="3"/>
      <c r="BL204" s="3"/>
      <c r="BM204" s="3"/>
    </row>
    <row r="205" spans="1:65" ht="15">
      <c r="A205"/>
      <c r="J205"/>
      <c r="AA205"/>
      <c r="AB205"/>
      <c r="AC205"/>
      <c r="AD205"/>
      <c r="AE205"/>
      <c r="AF205"/>
      <c r="AG205"/>
      <c r="AH205"/>
      <c r="BI205" s="2"/>
      <c r="BJ205" s="3"/>
      <c r="BK205" s="3"/>
      <c r="BL205" s="3"/>
      <c r="BM205" s="3"/>
    </row>
    <row r="206" spans="1:65" ht="15">
      <c r="A206"/>
      <c r="J206"/>
      <c r="AA206"/>
      <c r="AB206"/>
      <c r="AC206"/>
      <c r="AD206"/>
      <c r="AE206"/>
      <c r="AF206"/>
      <c r="AG206"/>
      <c r="AH206"/>
      <c r="BI206" s="2"/>
      <c r="BJ206" s="3"/>
      <c r="BK206" s="3"/>
      <c r="BL206" s="3"/>
      <c r="BM206" s="3"/>
    </row>
    <row r="207" spans="1:65" ht="15">
      <c r="A207"/>
      <c r="J207"/>
      <c r="AA207"/>
      <c r="AB207"/>
      <c r="AC207"/>
      <c r="AD207"/>
      <c r="AE207"/>
      <c r="AF207"/>
      <c r="AG207"/>
      <c r="AH207"/>
      <c r="BI207" s="2"/>
      <c r="BJ207" s="3"/>
      <c r="BK207" s="3"/>
      <c r="BL207" s="3"/>
      <c r="BM207" s="3"/>
    </row>
    <row r="208" spans="1:65" ht="15">
      <c r="A208"/>
      <c r="J208"/>
      <c r="AA208"/>
      <c r="AB208"/>
      <c r="AC208"/>
      <c r="AD208"/>
      <c r="AE208"/>
      <c r="AF208"/>
      <c r="AG208"/>
      <c r="AH208"/>
      <c r="BI208" s="2"/>
      <c r="BJ208" s="3"/>
      <c r="BK208" s="3"/>
      <c r="BL208" s="3"/>
      <c r="BM208" s="3"/>
    </row>
    <row r="209" spans="1:65" ht="15">
      <c r="A209"/>
      <c r="J209"/>
      <c r="AA209"/>
      <c r="AB209"/>
      <c r="AC209"/>
      <c r="AD209"/>
      <c r="AE209"/>
      <c r="AF209"/>
      <c r="AG209"/>
      <c r="AH209"/>
      <c r="BI209" s="2"/>
      <c r="BJ209" s="3"/>
      <c r="BK209" s="3"/>
      <c r="BL209" s="3"/>
      <c r="BM209" s="3"/>
    </row>
    <row r="210" spans="1:65" ht="15">
      <c r="A210"/>
      <c r="J210"/>
      <c r="AA210"/>
      <c r="AB210"/>
      <c r="AC210"/>
      <c r="AD210"/>
      <c r="AE210"/>
      <c r="AF210"/>
      <c r="AG210"/>
      <c r="AH210"/>
      <c r="BI210" s="2"/>
      <c r="BJ210" s="3"/>
      <c r="BK210" s="3"/>
      <c r="BL210" s="3"/>
      <c r="BM210" s="3"/>
    </row>
    <row r="211" spans="1:65" ht="15">
      <c r="A211"/>
      <c r="J211"/>
      <c r="AA211"/>
      <c r="AB211"/>
      <c r="AC211"/>
      <c r="AD211"/>
      <c r="AE211"/>
      <c r="AF211"/>
      <c r="AG211"/>
      <c r="AH211"/>
      <c r="BI211" s="2"/>
      <c r="BJ211" s="3"/>
      <c r="BK211" s="3"/>
      <c r="BL211" s="3"/>
      <c r="BM211" s="3"/>
    </row>
    <row r="212" spans="1:65" ht="15">
      <c r="A212"/>
      <c r="J212"/>
      <c r="AA212"/>
      <c r="AB212"/>
      <c r="AC212"/>
      <c r="AD212"/>
      <c r="AE212"/>
      <c r="AF212"/>
      <c r="AG212"/>
      <c r="AH212"/>
      <c r="BI212" s="2"/>
      <c r="BJ212" s="3"/>
      <c r="BK212" s="3"/>
      <c r="BL212" s="3"/>
      <c r="BM212" s="3"/>
    </row>
    <row r="213" spans="1:65" ht="15">
      <c r="A213"/>
      <c r="J213"/>
      <c r="AA213"/>
      <c r="AB213"/>
      <c r="AC213"/>
      <c r="AD213"/>
      <c r="AE213"/>
      <c r="AF213"/>
      <c r="AG213"/>
      <c r="AH213"/>
      <c r="BI213" s="2"/>
      <c r="BJ213" s="3"/>
      <c r="BK213" s="3"/>
      <c r="BL213" s="3"/>
      <c r="BM213" s="3"/>
    </row>
    <row r="214" spans="1:65" ht="15">
      <c r="A214"/>
      <c r="J214"/>
      <c r="AA214"/>
      <c r="AB214"/>
      <c r="AC214"/>
      <c r="AD214"/>
      <c r="AE214"/>
      <c r="AF214"/>
      <c r="AG214"/>
      <c r="AH214"/>
      <c r="BI214" s="2"/>
      <c r="BJ214" s="3"/>
      <c r="BK214" s="3"/>
      <c r="BL214" s="3"/>
      <c r="BM214" s="3"/>
    </row>
    <row r="215" spans="1:65" ht="15">
      <c r="A215"/>
      <c r="J215"/>
      <c r="AA215"/>
      <c r="AB215"/>
      <c r="AC215"/>
      <c r="AD215"/>
      <c r="AE215"/>
      <c r="AF215"/>
      <c r="AG215"/>
      <c r="AH215"/>
      <c r="BI215" s="2"/>
      <c r="BJ215" s="3"/>
      <c r="BK215" s="3"/>
      <c r="BL215" s="3"/>
      <c r="BM215" s="3"/>
    </row>
    <row r="216" spans="1:65" ht="15">
      <c r="A216"/>
      <c r="J216"/>
      <c r="AA216"/>
      <c r="AB216"/>
      <c r="AC216"/>
      <c r="AD216"/>
      <c r="AE216"/>
      <c r="AF216"/>
      <c r="AG216"/>
      <c r="AH216"/>
      <c r="BI216" s="2"/>
      <c r="BJ216" s="3"/>
      <c r="BK216" s="3"/>
      <c r="BL216" s="3"/>
      <c r="BM216" s="3"/>
    </row>
    <row r="217" spans="1:65" ht="15">
      <c r="A217"/>
      <c r="J217"/>
      <c r="AA217"/>
      <c r="AB217"/>
      <c r="AC217"/>
      <c r="AD217"/>
      <c r="AE217"/>
      <c r="AF217"/>
      <c r="AG217"/>
      <c r="AH217"/>
      <c r="BI217" s="2"/>
      <c r="BJ217" s="3"/>
      <c r="BK217" s="3"/>
      <c r="BL217" s="3"/>
      <c r="BM217" s="3"/>
    </row>
    <row r="218" spans="1:65" ht="15">
      <c r="A218"/>
      <c r="J218"/>
      <c r="AA218"/>
      <c r="AB218"/>
      <c r="AC218"/>
      <c r="AD218"/>
      <c r="AE218"/>
      <c r="AF218"/>
      <c r="AG218"/>
      <c r="AH218"/>
      <c r="BI218" s="2"/>
      <c r="BJ218" s="3"/>
      <c r="BK218" s="3"/>
      <c r="BL218" s="3"/>
      <c r="BM218" s="3"/>
    </row>
    <row r="219" spans="1:65" ht="15">
      <c r="A219"/>
      <c r="J219"/>
      <c r="AA219"/>
      <c r="AB219"/>
      <c r="AC219"/>
      <c r="AD219"/>
      <c r="AE219"/>
      <c r="AF219"/>
      <c r="AG219"/>
      <c r="AH219"/>
      <c r="BI219" s="2"/>
      <c r="BJ219" s="3"/>
      <c r="BK219" s="3"/>
      <c r="BL219" s="3"/>
      <c r="BM219" s="3"/>
    </row>
    <row r="220" spans="1:65" ht="15">
      <c r="A220"/>
      <c r="J220"/>
      <c r="AA220"/>
      <c r="AB220"/>
      <c r="AC220"/>
      <c r="AD220"/>
      <c r="AE220"/>
      <c r="AF220"/>
      <c r="AG220"/>
      <c r="AH220"/>
      <c r="BI220" s="2"/>
      <c r="BJ220" s="3"/>
      <c r="BK220" s="3"/>
      <c r="BL220" s="3"/>
      <c r="BM220" s="3"/>
    </row>
    <row r="221" spans="1:65" ht="15">
      <c r="A221"/>
      <c r="J221"/>
      <c r="AA221"/>
      <c r="AB221"/>
      <c r="AC221"/>
      <c r="AD221"/>
      <c r="AE221"/>
      <c r="AF221"/>
      <c r="AG221"/>
      <c r="AH221"/>
      <c r="BI221" s="2"/>
      <c r="BJ221" s="3"/>
      <c r="BK221" s="3"/>
      <c r="BL221" s="3"/>
      <c r="BM221" s="3"/>
    </row>
    <row r="222" spans="1:65" ht="15">
      <c r="A222"/>
      <c r="J222"/>
      <c r="AA222"/>
      <c r="AB222"/>
      <c r="AC222"/>
      <c r="AD222"/>
      <c r="AE222"/>
      <c r="AF222"/>
      <c r="AG222"/>
      <c r="AH222"/>
      <c r="BI222" s="2"/>
      <c r="BJ222" s="3"/>
      <c r="BK222" s="3"/>
      <c r="BL222" s="3"/>
      <c r="BM222" s="3"/>
    </row>
    <row r="223" spans="1:65" ht="15">
      <c r="A223"/>
      <c r="J223"/>
      <c r="AA223"/>
      <c r="AB223"/>
      <c r="AC223"/>
      <c r="AD223"/>
      <c r="AE223"/>
      <c r="AF223"/>
      <c r="AG223"/>
      <c r="AH223"/>
      <c r="BI223" s="2"/>
      <c r="BJ223" s="3"/>
      <c r="BK223" s="3"/>
      <c r="BL223" s="3"/>
      <c r="BM223" s="3"/>
    </row>
    <row r="224" spans="1:65" ht="15">
      <c r="A224"/>
      <c r="J224"/>
      <c r="AA224"/>
      <c r="AB224"/>
      <c r="AC224"/>
      <c r="AD224"/>
      <c r="AE224"/>
      <c r="AF224"/>
      <c r="AG224"/>
      <c r="AH224"/>
      <c r="BI224" s="2"/>
      <c r="BJ224" s="3"/>
      <c r="BK224" s="3"/>
      <c r="BL224" s="3"/>
      <c r="BM224" s="3"/>
    </row>
    <row r="225" spans="1:65" ht="15">
      <c r="A225"/>
      <c r="J225"/>
      <c r="AA225"/>
      <c r="AB225"/>
      <c r="AC225"/>
      <c r="AD225"/>
      <c r="AE225"/>
      <c r="AF225"/>
      <c r="AG225"/>
      <c r="AH225"/>
      <c r="BI225" s="2"/>
      <c r="BJ225" s="3"/>
      <c r="BK225" s="3"/>
      <c r="BL225" s="3"/>
      <c r="BM225" s="3"/>
    </row>
    <row r="226" spans="1:65" ht="15">
      <c r="A226"/>
      <c r="J226"/>
      <c r="AA226"/>
      <c r="AB226"/>
      <c r="AC226"/>
      <c r="AD226"/>
      <c r="AE226"/>
      <c r="AF226"/>
      <c r="AG226"/>
      <c r="AH226"/>
      <c r="BI226" s="2"/>
      <c r="BJ226" s="3"/>
      <c r="BK226" s="3"/>
      <c r="BL226" s="3"/>
      <c r="BM226" s="3"/>
    </row>
    <row r="227" spans="1:65" ht="15">
      <c r="A227"/>
      <c r="J227"/>
      <c r="AA227"/>
      <c r="AB227"/>
      <c r="AC227"/>
      <c r="AD227"/>
      <c r="AE227"/>
      <c r="AF227"/>
      <c r="AG227"/>
      <c r="AH227"/>
      <c r="BI227" s="2"/>
      <c r="BJ227" s="3"/>
      <c r="BK227" s="3"/>
      <c r="BL227" s="3"/>
      <c r="BM227" s="3"/>
    </row>
    <row r="228" spans="1:65" ht="15">
      <c r="A228"/>
      <c r="J228"/>
      <c r="AA228"/>
      <c r="AB228"/>
      <c r="AC228"/>
      <c r="AD228"/>
      <c r="AE228"/>
      <c r="AF228"/>
      <c r="AG228"/>
      <c r="AH228"/>
      <c r="BI228" s="2"/>
      <c r="BJ228" s="3"/>
      <c r="BK228" s="3"/>
      <c r="BL228" s="3"/>
      <c r="BM228" s="3"/>
    </row>
    <row r="229" spans="1:65" ht="15">
      <c r="A229"/>
      <c r="J229"/>
      <c r="AA229"/>
      <c r="AB229"/>
      <c r="AC229"/>
      <c r="AD229"/>
      <c r="AE229"/>
      <c r="AF229"/>
      <c r="AG229"/>
      <c r="AH229"/>
      <c r="BI229" s="2"/>
      <c r="BJ229" s="3"/>
      <c r="BK229" s="3"/>
      <c r="BL229" s="3"/>
      <c r="BM229" s="3"/>
    </row>
    <row r="230" spans="1:65" ht="15">
      <c r="A230"/>
      <c r="J230"/>
      <c r="AA230"/>
      <c r="AB230"/>
      <c r="AC230"/>
      <c r="AD230"/>
      <c r="AE230"/>
      <c r="AF230"/>
      <c r="AG230"/>
      <c r="AH230"/>
      <c r="BI230" s="2"/>
      <c r="BJ230" s="3"/>
      <c r="BK230" s="3"/>
      <c r="BL230" s="3"/>
      <c r="BM230" s="3"/>
    </row>
    <row r="231" spans="1:65" ht="15">
      <c r="A231"/>
      <c r="J231"/>
      <c r="AA231"/>
      <c r="AB231"/>
      <c r="AC231"/>
      <c r="AD231"/>
      <c r="AE231"/>
      <c r="AF231"/>
      <c r="AG231"/>
      <c r="AH231"/>
      <c r="BI231" s="2"/>
      <c r="BJ231" s="3"/>
      <c r="BK231" s="3"/>
      <c r="BL231" s="3"/>
      <c r="BM231" s="3"/>
    </row>
    <row r="232" spans="1:65" ht="15">
      <c r="A232"/>
      <c r="J232"/>
      <c r="AA232"/>
      <c r="AB232"/>
      <c r="AC232"/>
      <c r="AD232"/>
      <c r="AE232"/>
      <c r="AF232"/>
      <c r="AG232"/>
      <c r="AH232"/>
      <c r="BI232" s="2"/>
      <c r="BJ232" s="3"/>
      <c r="BK232" s="3"/>
      <c r="BL232" s="3"/>
      <c r="BM232" s="3"/>
    </row>
    <row r="233" spans="1:65" ht="15">
      <c r="A233"/>
      <c r="J233"/>
      <c r="AA233"/>
      <c r="AB233"/>
      <c r="AC233"/>
      <c r="AD233"/>
      <c r="AE233"/>
      <c r="AF233"/>
      <c r="AG233"/>
      <c r="AH233"/>
      <c r="BI233" s="2"/>
      <c r="BJ233" s="3"/>
      <c r="BK233" s="3"/>
      <c r="BL233" s="3"/>
      <c r="BM233" s="3"/>
    </row>
    <row r="234" spans="1:65" ht="15">
      <c r="A234"/>
      <c r="J234"/>
      <c r="AA234"/>
      <c r="AB234"/>
      <c r="AC234"/>
      <c r="AD234"/>
      <c r="AE234"/>
      <c r="AF234"/>
      <c r="AG234"/>
      <c r="AH234"/>
      <c r="BI234" s="2"/>
      <c r="BJ234" s="3"/>
      <c r="BK234" s="3"/>
      <c r="BL234" s="3"/>
      <c r="BM234" s="3"/>
    </row>
    <row r="235" spans="1:65" ht="15">
      <c r="A235"/>
      <c r="J235"/>
      <c r="AA235"/>
      <c r="AB235"/>
      <c r="AC235"/>
      <c r="AD235"/>
      <c r="AE235"/>
      <c r="AF235"/>
      <c r="AG235"/>
      <c r="AH235"/>
      <c r="BI235" s="2"/>
      <c r="BJ235" s="3"/>
      <c r="BK235" s="3"/>
      <c r="BL235" s="3"/>
      <c r="BM235" s="3"/>
    </row>
    <row r="236" spans="1:65" ht="15">
      <c r="A236"/>
      <c r="J236"/>
      <c r="AA236"/>
      <c r="AB236"/>
      <c r="AC236"/>
      <c r="AD236"/>
      <c r="AE236"/>
      <c r="AF236"/>
      <c r="AG236"/>
      <c r="AH236"/>
      <c r="BI236" s="2"/>
      <c r="BJ236" s="3"/>
      <c r="BK236" s="3"/>
      <c r="BL236" s="3"/>
      <c r="BM236" s="3"/>
    </row>
    <row r="237" spans="1:65" ht="15">
      <c r="A237"/>
      <c r="J237"/>
      <c r="AA237"/>
      <c r="AB237"/>
      <c r="AC237"/>
      <c r="AD237"/>
      <c r="AE237"/>
      <c r="AF237"/>
      <c r="AG237"/>
      <c r="AH237"/>
      <c r="BI237" s="2"/>
      <c r="BJ237" s="3"/>
      <c r="BK237" s="3"/>
      <c r="BL237" s="3"/>
      <c r="BM237" s="3"/>
    </row>
    <row r="238" spans="1:65" ht="15">
      <c r="A238"/>
      <c r="J238"/>
      <c r="AA238"/>
      <c r="AB238"/>
      <c r="AC238"/>
      <c r="AD238"/>
      <c r="AE238"/>
      <c r="AF238"/>
      <c r="AG238"/>
      <c r="AH238"/>
      <c r="BI238" s="2"/>
      <c r="BJ238" s="3"/>
      <c r="BK238" s="3"/>
      <c r="BL238" s="3"/>
      <c r="BM238" s="3"/>
    </row>
    <row r="239" spans="1:65" ht="15">
      <c r="A239"/>
      <c r="J239"/>
      <c r="AA239"/>
      <c r="AB239"/>
      <c r="AC239"/>
      <c r="AD239"/>
      <c r="AE239"/>
      <c r="AF239"/>
      <c r="AG239"/>
      <c r="AH239"/>
      <c r="BI239" s="2"/>
      <c r="BJ239" s="3"/>
      <c r="BK239" s="3"/>
      <c r="BL239" s="3"/>
      <c r="BM239" s="3"/>
    </row>
    <row r="240" spans="1:65" ht="15">
      <c r="A240"/>
      <c r="J240"/>
      <c r="AA240"/>
      <c r="AB240"/>
      <c r="AC240"/>
      <c r="AD240"/>
      <c r="AE240"/>
      <c r="AF240"/>
      <c r="AG240"/>
      <c r="AH240"/>
      <c r="BI240" s="2"/>
      <c r="BJ240" s="3"/>
      <c r="BK240" s="3"/>
      <c r="BL240" s="3"/>
      <c r="BM240" s="3"/>
    </row>
    <row r="241" spans="1:65" ht="15">
      <c r="A241"/>
      <c r="J241"/>
      <c r="AA241"/>
      <c r="AB241"/>
      <c r="AC241"/>
      <c r="AD241"/>
      <c r="AE241"/>
      <c r="AF241"/>
      <c r="AG241"/>
      <c r="AH241"/>
      <c r="BI241" s="2"/>
      <c r="BJ241" s="3"/>
      <c r="BK241" s="3"/>
      <c r="BL241" s="3"/>
      <c r="BM241" s="3"/>
    </row>
    <row r="242" spans="1:65" ht="15">
      <c r="A242"/>
      <c r="J242"/>
      <c r="AA242"/>
      <c r="AB242"/>
      <c r="AC242"/>
      <c r="AD242"/>
      <c r="AE242"/>
      <c r="AF242"/>
      <c r="AG242"/>
      <c r="AH242"/>
      <c r="BI242" s="2"/>
      <c r="BJ242" s="3"/>
      <c r="BK242" s="3"/>
      <c r="BL242" s="3"/>
      <c r="BM242" s="3"/>
    </row>
    <row r="243" spans="1:65" ht="15">
      <c r="A243"/>
      <c r="J243"/>
      <c r="AA243"/>
      <c r="AB243"/>
      <c r="AC243"/>
      <c r="AD243"/>
      <c r="AE243"/>
      <c r="AF243"/>
      <c r="AG243"/>
      <c r="AH243"/>
      <c r="BI243" s="2"/>
      <c r="BJ243" s="3"/>
      <c r="BK243" s="3"/>
      <c r="BL243" s="3"/>
      <c r="BM243" s="3"/>
    </row>
    <row r="244" spans="1:65" ht="15">
      <c r="A244"/>
      <c r="J244"/>
      <c r="AA244"/>
      <c r="AB244"/>
      <c r="AC244"/>
      <c r="AD244"/>
      <c r="AE244"/>
      <c r="AF244"/>
      <c r="AG244"/>
      <c r="AH244"/>
      <c r="BI244" s="2"/>
      <c r="BJ244" s="3"/>
      <c r="BK244" s="3"/>
      <c r="BL244" s="3"/>
      <c r="BM244" s="3"/>
    </row>
    <row r="245" spans="1:65" ht="15">
      <c r="A245"/>
      <c r="J245"/>
      <c r="AA245"/>
      <c r="AB245"/>
      <c r="AC245"/>
      <c r="AD245"/>
      <c r="AE245"/>
      <c r="AF245"/>
      <c r="AG245"/>
      <c r="AH245"/>
      <c r="BI245" s="2"/>
      <c r="BJ245" s="3"/>
      <c r="BK245" s="3"/>
      <c r="BL245" s="3"/>
      <c r="BM245" s="3"/>
    </row>
    <row r="246" spans="1:65" ht="15">
      <c r="A246"/>
      <c r="J246"/>
      <c r="AA246"/>
      <c r="AB246"/>
      <c r="AC246"/>
      <c r="AD246"/>
      <c r="AE246"/>
      <c r="AF246"/>
      <c r="AG246"/>
      <c r="AH246"/>
      <c r="BI246" s="2"/>
      <c r="BJ246" s="3"/>
      <c r="BK246" s="3"/>
      <c r="BL246" s="3"/>
      <c r="BM246" s="3"/>
    </row>
    <row r="247" spans="1:65" ht="15">
      <c r="A247"/>
      <c r="J247"/>
      <c r="AA247"/>
      <c r="AB247"/>
      <c r="AC247"/>
      <c r="AD247"/>
      <c r="AE247"/>
      <c r="AF247"/>
      <c r="AG247"/>
      <c r="AH247"/>
      <c r="BI247" s="2"/>
      <c r="BJ247" s="3"/>
      <c r="BK247" s="3"/>
      <c r="BL247" s="3"/>
      <c r="BM247" s="3"/>
    </row>
    <row r="248" spans="1:65" ht="15">
      <c r="A248"/>
      <c r="J248"/>
      <c r="AA248"/>
      <c r="AB248"/>
      <c r="AC248"/>
      <c r="AD248"/>
      <c r="AE248"/>
      <c r="AF248"/>
      <c r="AG248"/>
      <c r="AH248"/>
      <c r="BI248" s="2"/>
      <c r="BJ248" s="3"/>
      <c r="BK248" s="3"/>
      <c r="BL248" s="3"/>
      <c r="BM248" s="3"/>
    </row>
    <row r="249" spans="1:65" ht="15">
      <c r="A249"/>
      <c r="J249"/>
      <c r="AA249"/>
      <c r="AB249"/>
      <c r="AC249"/>
      <c r="AD249"/>
      <c r="AE249"/>
      <c r="AF249"/>
      <c r="AG249"/>
      <c r="AH249"/>
      <c r="BI249" s="2"/>
      <c r="BJ249" s="3"/>
      <c r="BK249" s="3"/>
      <c r="BL249" s="3"/>
      <c r="BM249" s="3"/>
    </row>
    <row r="250" spans="1:65" ht="15">
      <c r="A250"/>
      <c r="J250"/>
      <c r="AA250"/>
      <c r="AB250"/>
      <c r="AC250"/>
      <c r="AD250"/>
      <c r="AE250"/>
      <c r="AF250"/>
      <c r="AG250"/>
      <c r="AH250"/>
      <c r="BI250" s="2"/>
      <c r="BJ250" s="3"/>
      <c r="BK250" s="3"/>
      <c r="BL250" s="3"/>
      <c r="BM250" s="3"/>
    </row>
    <row r="251" spans="1:65" ht="15">
      <c r="A251"/>
      <c r="J251"/>
      <c r="AA251"/>
      <c r="AB251"/>
      <c r="AC251"/>
      <c r="AD251"/>
      <c r="AE251"/>
      <c r="AF251"/>
      <c r="AG251"/>
      <c r="AH251"/>
      <c r="BI251" s="2"/>
      <c r="BJ251" s="3"/>
      <c r="BK251" s="3"/>
      <c r="BL251" s="3"/>
      <c r="BM251" s="3"/>
    </row>
    <row r="252" spans="1:65" ht="15">
      <c r="A252"/>
      <c r="J252"/>
      <c r="AA252"/>
      <c r="AB252"/>
      <c r="AC252"/>
      <c r="AD252"/>
      <c r="AE252"/>
      <c r="AF252"/>
      <c r="AG252"/>
      <c r="AH252"/>
      <c r="BI252" s="2"/>
      <c r="BJ252" s="3"/>
      <c r="BK252" s="3"/>
      <c r="BL252" s="3"/>
      <c r="BM252" s="3"/>
    </row>
    <row r="253" spans="1:65" ht="15">
      <c r="A253"/>
      <c r="J253"/>
      <c r="AA253"/>
      <c r="AB253"/>
      <c r="AC253"/>
      <c r="AD253"/>
      <c r="AE253"/>
      <c r="AF253"/>
      <c r="AG253"/>
      <c r="AH253"/>
      <c r="BI253" s="2"/>
      <c r="BJ253" s="3"/>
      <c r="BK253" s="3"/>
      <c r="BL253" s="3"/>
      <c r="BM253" s="3"/>
    </row>
    <row r="254" spans="1:65" ht="15">
      <c r="A254"/>
      <c r="J254"/>
      <c r="AA254"/>
      <c r="AB254"/>
      <c r="AC254"/>
      <c r="AD254"/>
      <c r="AE254"/>
      <c r="AF254"/>
      <c r="AG254"/>
      <c r="AH254"/>
      <c r="BI254" s="2"/>
      <c r="BJ254" s="3"/>
      <c r="BK254" s="3"/>
      <c r="BL254" s="3"/>
      <c r="BM254" s="3"/>
    </row>
    <row r="255" spans="1:65" ht="15">
      <c r="A255"/>
      <c r="J255"/>
      <c r="AA255"/>
      <c r="AB255"/>
      <c r="AC255"/>
      <c r="AD255"/>
      <c r="AE255"/>
      <c r="AF255"/>
      <c r="AG255"/>
      <c r="AH255"/>
      <c r="BI255" s="2"/>
      <c r="BJ255" s="3"/>
      <c r="BK255" s="3"/>
      <c r="BL255" s="3"/>
      <c r="BM255" s="3"/>
    </row>
    <row r="256" spans="1:65" ht="15">
      <c r="A256"/>
      <c r="J256"/>
      <c r="AA256"/>
      <c r="AB256"/>
      <c r="AC256"/>
      <c r="AD256"/>
      <c r="AE256"/>
      <c r="AF256"/>
      <c r="AG256"/>
      <c r="AH256"/>
      <c r="BI256" s="2"/>
      <c r="BJ256" s="3"/>
      <c r="BK256" s="3"/>
      <c r="BL256" s="3"/>
      <c r="BM256" s="3"/>
    </row>
    <row r="257" spans="1:65" ht="15">
      <c r="A257"/>
      <c r="J257"/>
      <c r="AA257"/>
      <c r="AB257"/>
      <c r="AC257"/>
      <c r="AD257"/>
      <c r="AE257"/>
      <c r="AF257"/>
      <c r="AG257"/>
      <c r="AH257"/>
      <c r="BI257" s="2"/>
      <c r="BJ257" s="3"/>
      <c r="BK257" s="3"/>
      <c r="BL257" s="3"/>
      <c r="BM257" s="3"/>
    </row>
    <row r="258" spans="1:65" ht="15">
      <c r="A258"/>
      <c r="J258"/>
      <c r="AA258"/>
      <c r="AB258"/>
      <c r="AC258"/>
      <c r="AD258"/>
      <c r="AE258"/>
      <c r="AF258"/>
      <c r="AG258"/>
      <c r="AH258"/>
      <c r="BI258" s="2"/>
      <c r="BJ258" s="3"/>
      <c r="BK258" s="3"/>
      <c r="BL258" s="3"/>
      <c r="BM258" s="3"/>
    </row>
    <row r="259" spans="1:65" ht="15">
      <c r="A259"/>
      <c r="J259"/>
      <c r="AA259"/>
      <c r="AB259"/>
      <c r="AC259"/>
      <c r="AD259"/>
      <c r="AE259"/>
      <c r="AF259"/>
      <c r="AG259"/>
      <c r="AH259"/>
      <c r="BI259" s="2"/>
      <c r="BJ259" s="3"/>
      <c r="BK259" s="3"/>
      <c r="BL259" s="3"/>
      <c r="BM259" s="3"/>
    </row>
    <row r="260" spans="1:65" ht="15">
      <c r="A260"/>
      <c r="J260"/>
      <c r="AA260"/>
      <c r="AB260"/>
      <c r="AC260"/>
      <c r="AD260"/>
      <c r="AE260"/>
      <c r="AF260"/>
      <c r="AG260"/>
      <c r="AH260"/>
      <c r="BI260" s="2"/>
      <c r="BJ260" s="3"/>
      <c r="BK260" s="3"/>
      <c r="BL260" s="3"/>
      <c r="BM260" s="3"/>
    </row>
    <row r="261" spans="1:65" ht="15">
      <c r="A261"/>
      <c r="J261"/>
      <c r="AA261"/>
      <c r="AB261"/>
      <c r="AC261"/>
      <c r="AD261"/>
      <c r="AE261"/>
      <c r="AF261"/>
      <c r="AG261"/>
      <c r="AH261"/>
      <c r="BI261" s="2"/>
      <c r="BJ261" s="3"/>
      <c r="BK261" s="3"/>
      <c r="BL261" s="3"/>
      <c r="BM261" s="3"/>
    </row>
    <row r="262" spans="1:65" ht="15">
      <c r="A262"/>
      <c r="J262"/>
      <c r="AA262"/>
      <c r="AB262"/>
      <c r="AC262"/>
      <c r="AD262"/>
      <c r="AE262"/>
      <c r="AF262"/>
      <c r="AG262"/>
      <c r="AH262"/>
      <c r="BI262" s="2"/>
      <c r="BJ262" s="3"/>
      <c r="BK262" s="3"/>
      <c r="BL262" s="3"/>
      <c r="BM262" s="3"/>
    </row>
    <row r="263" spans="1:65" ht="15">
      <c r="A263"/>
      <c r="J263"/>
      <c r="AA263"/>
      <c r="AB263"/>
      <c r="AC263"/>
      <c r="AD263"/>
      <c r="AE263"/>
      <c r="AF263"/>
      <c r="AG263"/>
      <c r="AH263"/>
      <c r="BI263" s="2"/>
      <c r="BJ263" s="3"/>
      <c r="BK263" s="3"/>
      <c r="BL263" s="3"/>
      <c r="BM263" s="3"/>
    </row>
    <row r="264" spans="1:65" ht="15">
      <c r="A264"/>
      <c r="J264"/>
      <c r="AA264"/>
      <c r="AB264"/>
      <c r="AC264"/>
      <c r="AD264"/>
      <c r="AE264"/>
      <c r="AF264"/>
      <c r="AG264"/>
      <c r="AH264"/>
      <c r="BI264" s="2"/>
      <c r="BJ264" s="3"/>
      <c r="BK264" s="3"/>
      <c r="BL264" s="3"/>
      <c r="BM264" s="3"/>
    </row>
    <row r="265" spans="1:65" ht="15">
      <c r="A265"/>
      <c r="J265"/>
      <c r="AA265"/>
      <c r="AB265"/>
      <c r="AC265"/>
      <c r="AD265"/>
      <c r="AE265"/>
      <c r="AF265"/>
      <c r="AG265"/>
      <c r="AH265"/>
      <c r="BI265" s="2"/>
      <c r="BJ265" s="3"/>
      <c r="BK265" s="3"/>
      <c r="BL265" s="3"/>
      <c r="BM265" s="3"/>
    </row>
    <row r="266" spans="1:65" ht="15">
      <c r="A266"/>
      <c r="J266"/>
      <c r="AA266"/>
      <c r="AB266"/>
      <c r="AC266"/>
      <c r="AD266"/>
      <c r="AE266"/>
      <c r="AF266"/>
      <c r="AG266"/>
      <c r="AH266"/>
      <c r="BI266" s="2"/>
      <c r="BJ266" s="3"/>
      <c r="BK266" s="3"/>
      <c r="BL266" s="3"/>
      <c r="BM266" s="3"/>
    </row>
    <row r="267" spans="1:65" ht="15">
      <c r="A267"/>
      <c r="J267"/>
      <c r="AA267"/>
      <c r="AB267"/>
      <c r="AC267"/>
      <c r="AD267"/>
      <c r="AE267"/>
      <c r="AF267"/>
      <c r="AG267"/>
      <c r="AH267"/>
      <c r="BI267" s="2"/>
      <c r="BJ267" s="3"/>
      <c r="BK267" s="3"/>
      <c r="BL267" s="3"/>
      <c r="BM267" s="3"/>
    </row>
    <row r="268" spans="1:65" ht="15">
      <c r="A268"/>
      <c r="J268"/>
      <c r="AA268"/>
      <c r="AB268"/>
      <c r="AC268"/>
      <c r="AD268"/>
      <c r="AE268"/>
      <c r="AF268"/>
      <c r="AG268"/>
      <c r="AH268"/>
      <c r="BI268" s="2"/>
      <c r="BJ268" s="3"/>
      <c r="BK268" s="3"/>
      <c r="BL268" s="3"/>
      <c r="BM268" s="3"/>
    </row>
    <row r="269" spans="1:65" ht="15">
      <c r="A269"/>
      <c r="J269"/>
      <c r="AA269"/>
      <c r="AB269"/>
      <c r="AC269"/>
      <c r="AD269"/>
      <c r="AE269"/>
      <c r="AF269"/>
      <c r="AG269"/>
      <c r="AH269"/>
      <c r="BI269" s="2"/>
      <c r="BJ269" s="3"/>
      <c r="BK269" s="3"/>
      <c r="BL269" s="3"/>
      <c r="BM269" s="3"/>
    </row>
    <row r="270" spans="1:65" ht="15">
      <c r="A270"/>
      <c r="J270"/>
      <c r="AA270"/>
      <c r="AB270"/>
      <c r="AC270"/>
      <c r="AD270"/>
      <c r="AE270"/>
      <c r="AF270"/>
      <c r="AG270"/>
      <c r="AH270"/>
      <c r="BI270" s="2"/>
      <c r="BJ270" s="3"/>
      <c r="BK270" s="3"/>
      <c r="BL270" s="3"/>
      <c r="BM270" s="3"/>
    </row>
    <row r="271" spans="1:65" ht="15">
      <c r="A271"/>
      <c r="J271"/>
      <c r="AA271"/>
      <c r="AB271"/>
      <c r="AC271"/>
      <c r="AD271"/>
      <c r="AE271"/>
      <c r="AF271"/>
      <c r="AG271"/>
      <c r="AH271"/>
      <c r="BI271" s="2"/>
      <c r="BJ271" s="3"/>
      <c r="BK271" s="3"/>
      <c r="BL271" s="3"/>
      <c r="BM271" s="3"/>
    </row>
    <row r="272" spans="1:65" ht="15">
      <c r="A272"/>
      <c r="J272"/>
      <c r="AA272"/>
      <c r="AB272"/>
      <c r="AC272"/>
      <c r="AD272"/>
      <c r="AE272"/>
      <c r="AF272"/>
      <c r="AG272"/>
      <c r="AH272"/>
      <c r="BI272" s="2"/>
      <c r="BJ272" s="3"/>
      <c r="BK272" s="3"/>
      <c r="BL272" s="3"/>
      <c r="BM272" s="3"/>
    </row>
    <row r="273" spans="1:65" ht="15">
      <c r="A273"/>
      <c r="J273"/>
      <c r="AA273"/>
      <c r="AB273"/>
      <c r="AC273"/>
      <c r="AD273"/>
      <c r="AE273"/>
      <c r="AF273"/>
      <c r="AG273"/>
      <c r="AH273"/>
      <c r="BI273" s="2"/>
      <c r="BJ273" s="3"/>
      <c r="BK273" s="3"/>
      <c r="BL273" s="3"/>
      <c r="BM273" s="3"/>
    </row>
    <row r="274" spans="1:65" ht="15">
      <c r="A274"/>
      <c r="J274"/>
      <c r="AA274"/>
      <c r="AB274"/>
      <c r="AC274"/>
      <c r="AD274"/>
      <c r="AE274"/>
      <c r="AF274"/>
      <c r="AG274"/>
      <c r="AH274"/>
      <c r="BI274" s="2"/>
      <c r="BJ274" s="3"/>
      <c r="BK274" s="3"/>
      <c r="BL274" s="3"/>
      <c r="BM274" s="3"/>
    </row>
    <row r="275" spans="1:65" ht="15">
      <c r="A275"/>
      <c r="J275"/>
      <c r="AA275"/>
      <c r="AB275"/>
      <c r="AC275"/>
      <c r="AD275"/>
      <c r="AE275"/>
      <c r="AF275"/>
      <c r="AG275"/>
      <c r="AH275"/>
      <c r="BI275" s="2"/>
      <c r="BJ275" s="3"/>
      <c r="BK275" s="3"/>
      <c r="BL275" s="3"/>
      <c r="BM275" s="3"/>
    </row>
    <row r="276" spans="1:65" ht="15">
      <c r="A276"/>
      <c r="J276"/>
      <c r="AA276"/>
      <c r="AB276"/>
      <c r="AC276"/>
      <c r="AD276"/>
      <c r="AE276"/>
      <c r="AF276"/>
      <c r="AG276"/>
      <c r="AH276"/>
      <c r="BI276" s="2"/>
      <c r="BJ276" s="3"/>
      <c r="BK276" s="3"/>
      <c r="BL276" s="3"/>
      <c r="BM276" s="3"/>
    </row>
    <row r="277" spans="1:65" ht="15">
      <c r="A277"/>
      <c r="J277"/>
      <c r="AA277"/>
      <c r="AB277"/>
      <c r="AC277"/>
      <c r="AD277"/>
      <c r="AE277"/>
      <c r="AF277"/>
      <c r="AG277"/>
      <c r="AH277"/>
      <c r="BI277" s="2"/>
      <c r="BJ277" s="3"/>
      <c r="BK277" s="3"/>
      <c r="BL277" s="3"/>
      <c r="BM277" s="3"/>
    </row>
    <row r="278" spans="1:65" ht="15">
      <c r="A278"/>
      <c r="J278"/>
      <c r="AA278"/>
      <c r="AB278"/>
      <c r="AC278"/>
      <c r="AD278"/>
      <c r="AE278"/>
      <c r="AF278"/>
      <c r="AG278"/>
      <c r="AH278"/>
      <c r="BI278" s="2"/>
      <c r="BJ278" s="3"/>
      <c r="BK278" s="3"/>
      <c r="BL278" s="3"/>
      <c r="BM278" s="3"/>
    </row>
    <row r="279" spans="1:65" ht="15">
      <c r="A279"/>
      <c r="J279"/>
      <c r="AA279"/>
      <c r="AB279"/>
      <c r="AC279"/>
      <c r="AD279"/>
      <c r="AE279"/>
      <c r="AF279"/>
      <c r="AG279"/>
      <c r="AH279"/>
      <c r="BI279" s="2"/>
      <c r="BJ279" s="3"/>
      <c r="BK279" s="3"/>
      <c r="BL279" s="3"/>
      <c r="BM279" s="3"/>
    </row>
    <row r="280" spans="1:65" ht="15">
      <c r="A280"/>
      <c r="J280"/>
      <c r="AA280"/>
      <c r="AB280"/>
      <c r="AC280"/>
      <c r="AD280"/>
      <c r="AE280"/>
      <c r="AF280"/>
      <c r="AG280"/>
      <c r="AH280"/>
      <c r="BI280" s="2"/>
      <c r="BJ280" s="3"/>
      <c r="BK280" s="3"/>
      <c r="BL280" s="3"/>
      <c r="BM280" s="3"/>
    </row>
    <row r="281" spans="1:65" ht="15">
      <c r="A281"/>
      <c r="J281"/>
      <c r="AA281"/>
      <c r="AB281"/>
      <c r="AC281"/>
      <c r="AD281"/>
      <c r="AE281"/>
      <c r="AF281"/>
      <c r="AG281"/>
      <c r="AH281"/>
      <c r="BI281" s="2"/>
      <c r="BJ281" s="3"/>
      <c r="BK281" s="3"/>
      <c r="BL281" s="3"/>
      <c r="BM281" s="3"/>
    </row>
    <row r="282" spans="1:65" ht="15">
      <c r="A282"/>
      <c r="J282"/>
      <c r="AA282"/>
      <c r="AB282"/>
      <c r="AC282"/>
      <c r="AD282"/>
      <c r="AE282"/>
      <c r="AF282"/>
      <c r="AG282"/>
      <c r="AH282"/>
      <c r="BI282" s="2"/>
      <c r="BJ282" s="3"/>
      <c r="BK282" s="3"/>
      <c r="BL282" s="3"/>
      <c r="BM282" s="3"/>
    </row>
    <row r="283" spans="1:65" ht="15">
      <c r="A283"/>
      <c r="J283"/>
      <c r="AA283"/>
      <c r="AB283"/>
      <c r="AC283"/>
      <c r="AD283"/>
      <c r="AE283"/>
      <c r="AF283"/>
      <c r="AG283"/>
      <c r="AH283"/>
      <c r="BI283" s="2"/>
      <c r="BJ283" s="3"/>
      <c r="BK283" s="3"/>
      <c r="BL283" s="3"/>
      <c r="BM283" s="3"/>
    </row>
    <row r="284" spans="1:65" ht="15">
      <c r="A284"/>
      <c r="J284"/>
      <c r="AA284"/>
      <c r="AB284"/>
      <c r="AC284"/>
      <c r="AD284"/>
      <c r="AE284"/>
      <c r="AF284"/>
      <c r="AG284"/>
      <c r="AH284"/>
      <c r="BI284" s="2"/>
      <c r="BJ284" s="3"/>
      <c r="BK284" s="3"/>
      <c r="BL284" s="3"/>
      <c r="BM284" s="3"/>
    </row>
    <row r="285" spans="1:65" ht="15">
      <c r="A285"/>
      <c r="J285"/>
      <c r="AA285"/>
      <c r="AB285"/>
      <c r="AC285"/>
      <c r="AD285"/>
      <c r="AE285"/>
      <c r="AF285"/>
      <c r="AG285"/>
      <c r="AH285"/>
      <c r="BI285" s="2"/>
      <c r="BJ285" s="3"/>
      <c r="BK285" s="3"/>
      <c r="BL285" s="3"/>
      <c r="BM285" s="3"/>
    </row>
    <row r="286" spans="1:65" ht="15">
      <c r="A286"/>
      <c r="J286"/>
      <c r="AA286"/>
      <c r="AB286"/>
      <c r="AC286"/>
      <c r="AD286"/>
      <c r="AE286"/>
      <c r="AF286"/>
      <c r="AG286"/>
      <c r="AH286"/>
      <c r="BI286" s="2"/>
      <c r="BJ286" s="3"/>
      <c r="BK286" s="3"/>
      <c r="BL286" s="3"/>
      <c r="BM286" s="3"/>
    </row>
    <row r="287" spans="1:65" ht="15">
      <c r="A287"/>
      <c r="J287"/>
      <c r="AA287"/>
      <c r="AB287"/>
      <c r="AC287"/>
      <c r="AD287"/>
      <c r="AE287"/>
      <c r="AF287"/>
      <c r="AG287"/>
      <c r="AH287"/>
      <c r="BI287" s="2"/>
      <c r="BJ287" s="3"/>
      <c r="BK287" s="3"/>
      <c r="BL287" s="3"/>
      <c r="BM287" s="3"/>
    </row>
    <row r="288" spans="1:65" ht="15">
      <c r="A288"/>
      <c r="J288"/>
      <c r="AA288"/>
      <c r="AB288"/>
      <c r="AC288"/>
      <c r="AD288"/>
      <c r="AE288"/>
      <c r="AF288"/>
      <c r="AG288"/>
      <c r="AH288"/>
      <c r="BI288" s="2"/>
      <c r="BJ288" s="3"/>
      <c r="BK288" s="3"/>
      <c r="BL288" s="3"/>
      <c r="BM288" s="3"/>
    </row>
    <row r="289" spans="1:65" ht="15">
      <c r="A289"/>
      <c r="J289"/>
      <c r="AA289"/>
      <c r="AB289"/>
      <c r="AC289"/>
      <c r="AD289"/>
      <c r="AE289"/>
      <c r="AF289"/>
      <c r="AG289"/>
      <c r="AH289"/>
      <c r="BI289" s="2"/>
      <c r="BJ289" s="3"/>
      <c r="BK289" s="3"/>
      <c r="BL289" s="3"/>
      <c r="BM289" s="3"/>
    </row>
    <row r="290" spans="1:65" ht="15">
      <c r="A290"/>
      <c r="J290"/>
      <c r="AA290"/>
      <c r="AB290"/>
      <c r="AC290"/>
      <c r="AD290"/>
      <c r="AE290"/>
      <c r="AF290"/>
      <c r="AG290"/>
      <c r="AH290"/>
      <c r="BI290" s="2"/>
      <c r="BJ290" s="3"/>
      <c r="BK290" s="3"/>
      <c r="BL290" s="3"/>
      <c r="BM290" s="3"/>
    </row>
    <row r="291" spans="1:65" ht="15">
      <c r="A291"/>
      <c r="J291"/>
      <c r="AA291"/>
      <c r="AB291"/>
      <c r="AC291"/>
      <c r="AD291"/>
      <c r="AE291"/>
      <c r="AF291"/>
      <c r="AG291"/>
      <c r="AH291"/>
      <c r="BI291" s="2"/>
      <c r="BJ291" s="3"/>
      <c r="BK291" s="3"/>
      <c r="BL291" s="3"/>
      <c r="BM291" s="3"/>
    </row>
    <row r="292" spans="1:65" ht="15">
      <c r="A292"/>
      <c r="J292"/>
      <c r="AA292"/>
      <c r="AB292"/>
      <c r="AC292"/>
      <c r="AD292"/>
      <c r="AE292"/>
      <c r="AF292"/>
      <c r="AG292"/>
      <c r="AH292"/>
      <c r="BI292" s="2"/>
      <c r="BJ292" s="3"/>
      <c r="BK292" s="3"/>
      <c r="BL292" s="3"/>
      <c r="BM292" s="3"/>
    </row>
    <row r="293" spans="1:65" ht="15">
      <c r="A293"/>
      <c r="J293"/>
      <c r="AA293"/>
      <c r="AB293"/>
      <c r="AC293"/>
      <c r="AD293"/>
      <c r="AE293"/>
      <c r="AF293"/>
      <c r="AG293"/>
      <c r="AH293"/>
      <c r="BI293" s="2"/>
      <c r="BJ293" s="3"/>
      <c r="BK293" s="3"/>
      <c r="BL293" s="3"/>
      <c r="BM293" s="3"/>
    </row>
    <row r="294" spans="1:65" ht="15">
      <c r="A294"/>
      <c r="J294"/>
      <c r="AA294"/>
      <c r="AB294"/>
      <c r="AC294"/>
      <c r="AD294"/>
      <c r="AE294"/>
      <c r="AF294"/>
      <c r="AG294"/>
      <c r="AH294"/>
      <c r="BI294" s="2"/>
      <c r="BJ294" s="3"/>
      <c r="BK294" s="3"/>
      <c r="BL294" s="3"/>
      <c r="BM294" s="3"/>
    </row>
    <row r="295" spans="1:65" ht="15">
      <c r="A295"/>
      <c r="J295"/>
      <c r="AA295"/>
      <c r="AB295"/>
      <c r="AC295"/>
      <c r="AD295"/>
      <c r="AE295"/>
      <c r="AF295"/>
      <c r="AG295"/>
      <c r="AH295"/>
      <c r="BI295" s="2"/>
      <c r="BJ295" s="3"/>
      <c r="BK295" s="3"/>
      <c r="BL295" s="3"/>
      <c r="BM295" s="3"/>
    </row>
    <row r="296" spans="1:65" ht="15">
      <c r="A296"/>
      <c r="J296"/>
      <c r="AA296"/>
      <c r="AB296"/>
      <c r="AC296"/>
      <c r="AD296"/>
      <c r="AE296"/>
      <c r="AF296"/>
      <c r="AG296"/>
      <c r="AH296"/>
      <c r="BI296" s="2"/>
      <c r="BJ296" s="3"/>
      <c r="BK296" s="3"/>
      <c r="BL296" s="3"/>
      <c r="BM296" s="3"/>
    </row>
    <row r="297" spans="1:65" ht="15">
      <c r="A297"/>
      <c r="J297"/>
      <c r="AA297"/>
      <c r="AB297"/>
      <c r="AC297"/>
      <c r="AD297"/>
      <c r="AE297"/>
      <c r="AF297"/>
      <c r="AG297"/>
      <c r="AH297"/>
      <c r="BI297" s="2"/>
      <c r="BJ297" s="3"/>
      <c r="BK297" s="3"/>
      <c r="BL297" s="3"/>
      <c r="BM297" s="3"/>
    </row>
    <row r="298" spans="1:65" ht="15">
      <c r="A298"/>
      <c r="J298"/>
      <c r="AA298"/>
      <c r="AB298"/>
      <c r="AC298"/>
      <c r="AD298"/>
      <c r="AE298"/>
      <c r="AF298"/>
      <c r="AG298"/>
      <c r="AH298"/>
      <c r="BI298" s="2"/>
      <c r="BJ298" s="3"/>
      <c r="BK298" s="3"/>
      <c r="BL298" s="3"/>
      <c r="BM298" s="3"/>
    </row>
    <row r="299" spans="1:65" ht="15">
      <c r="A299"/>
      <c r="J299"/>
      <c r="AA299"/>
      <c r="AB299"/>
      <c r="AC299"/>
      <c r="AD299"/>
      <c r="AE299"/>
      <c r="AF299"/>
      <c r="AG299"/>
      <c r="AH299"/>
      <c r="BI299" s="2"/>
      <c r="BJ299" s="3"/>
      <c r="BK299" s="3"/>
      <c r="BL299" s="3"/>
      <c r="BM299" s="3"/>
    </row>
    <row r="300" spans="1:65" ht="15">
      <c r="A300"/>
      <c r="J300"/>
      <c r="AA300"/>
      <c r="AB300"/>
      <c r="AC300"/>
      <c r="AD300"/>
      <c r="AE300"/>
      <c r="AF300"/>
      <c r="AG300"/>
      <c r="AH300"/>
      <c r="BI300" s="2"/>
      <c r="BJ300" s="3"/>
      <c r="BK300" s="3"/>
      <c r="BL300" s="3"/>
      <c r="BM300" s="3"/>
    </row>
    <row r="301" spans="1:65" ht="15">
      <c r="A301"/>
      <c r="J301"/>
      <c r="AA301"/>
      <c r="AB301"/>
      <c r="AC301"/>
      <c r="AD301"/>
      <c r="AE301"/>
      <c r="AF301"/>
      <c r="AG301"/>
      <c r="AH301"/>
      <c r="BI301" s="2"/>
      <c r="BJ301" s="3"/>
      <c r="BK301" s="3"/>
      <c r="BL301" s="3"/>
      <c r="BM301" s="3"/>
    </row>
    <row r="302" spans="1:65" ht="15">
      <c r="A302"/>
      <c r="J302"/>
      <c r="AA302"/>
      <c r="AB302"/>
      <c r="AC302"/>
      <c r="AD302"/>
      <c r="AE302"/>
      <c r="AF302"/>
      <c r="AG302"/>
      <c r="AH302"/>
      <c r="BI302" s="2"/>
      <c r="BJ302" s="3"/>
      <c r="BK302" s="3"/>
      <c r="BL302" s="3"/>
      <c r="BM302" s="3"/>
    </row>
    <row r="303" spans="1:65" ht="15">
      <c r="A303"/>
      <c r="J303"/>
      <c r="AA303"/>
      <c r="AB303"/>
      <c r="AC303"/>
      <c r="AD303"/>
      <c r="AE303"/>
      <c r="AF303"/>
      <c r="AG303"/>
      <c r="AH303"/>
      <c r="BI303" s="2"/>
      <c r="BJ303" s="3"/>
      <c r="BK303" s="3"/>
      <c r="BL303" s="3"/>
      <c r="BM303" s="3"/>
    </row>
    <row r="304" spans="1:65" ht="15">
      <c r="A304"/>
      <c r="J304"/>
      <c r="AA304"/>
      <c r="AB304"/>
      <c r="AC304"/>
      <c r="AD304"/>
      <c r="AE304"/>
      <c r="AF304"/>
      <c r="AG304"/>
      <c r="AH304"/>
      <c r="BI304" s="2"/>
      <c r="BJ304" s="3"/>
      <c r="BK304" s="3"/>
      <c r="BL304" s="3"/>
      <c r="BM304" s="3"/>
    </row>
    <row r="305" spans="1:65" ht="15">
      <c r="A305"/>
      <c r="J305"/>
      <c r="AA305"/>
      <c r="AB305"/>
      <c r="AC305"/>
      <c r="AD305"/>
      <c r="AE305"/>
      <c r="AF305"/>
      <c r="AG305"/>
      <c r="AH305"/>
      <c r="BI305" s="2"/>
      <c r="BJ305" s="3"/>
      <c r="BK305" s="3"/>
      <c r="BL305" s="3"/>
      <c r="BM305" s="3"/>
    </row>
    <row r="306" spans="1:65" ht="15">
      <c r="A306"/>
      <c r="J306"/>
      <c r="AA306"/>
      <c r="AB306"/>
      <c r="AC306"/>
      <c r="AD306"/>
      <c r="AE306"/>
      <c r="AF306"/>
      <c r="AG306"/>
      <c r="AH306"/>
      <c r="BI306" s="2"/>
      <c r="BJ306" s="3"/>
      <c r="BK306" s="3"/>
      <c r="BL306" s="3"/>
      <c r="BM306" s="3"/>
    </row>
    <row r="307" spans="1:65" ht="15">
      <c r="A307"/>
      <c r="J307"/>
      <c r="AA307"/>
      <c r="AB307"/>
      <c r="AC307"/>
      <c r="AD307"/>
      <c r="AE307"/>
      <c r="AF307"/>
      <c r="AG307"/>
      <c r="AH307"/>
      <c r="BI307" s="2"/>
      <c r="BJ307" s="3"/>
      <c r="BK307" s="3"/>
      <c r="BL307" s="3"/>
      <c r="BM307" s="3"/>
    </row>
    <row r="308" spans="1:65" ht="15">
      <c r="A308"/>
      <c r="J308"/>
      <c r="AA308"/>
      <c r="AB308"/>
      <c r="AC308"/>
      <c r="AD308"/>
      <c r="AE308"/>
      <c r="AF308"/>
      <c r="AG308"/>
      <c r="AH308"/>
      <c r="BI308" s="2"/>
      <c r="BJ308" s="3"/>
      <c r="BK308" s="3"/>
      <c r="BL308" s="3"/>
      <c r="BM308" s="3"/>
    </row>
    <row r="309" spans="1:65" ht="15">
      <c r="A309"/>
      <c r="J309"/>
      <c r="AA309"/>
      <c r="AB309"/>
      <c r="AC309"/>
      <c r="AD309"/>
      <c r="AE309"/>
      <c r="AF309"/>
      <c r="AG309"/>
      <c r="AH309"/>
      <c r="BI309" s="2"/>
      <c r="BJ309" s="3"/>
      <c r="BK309" s="3"/>
      <c r="BL309" s="3"/>
      <c r="BM309" s="3"/>
    </row>
    <row r="310" spans="1:65" ht="15">
      <c r="A310"/>
      <c r="J310"/>
      <c r="AA310"/>
      <c r="AB310"/>
      <c r="AC310"/>
      <c r="AD310"/>
      <c r="AE310"/>
      <c r="AF310"/>
      <c r="AG310"/>
      <c r="AH310"/>
      <c r="BI310" s="2"/>
      <c r="BJ310" s="3"/>
      <c r="BK310" s="3"/>
      <c r="BL310" s="3"/>
      <c r="BM310" s="3"/>
    </row>
    <row r="311" spans="1:65" ht="15">
      <c r="A311"/>
      <c r="J311"/>
      <c r="AA311"/>
      <c r="AB311"/>
      <c r="AC311"/>
      <c r="AD311"/>
      <c r="AE311"/>
      <c r="AF311"/>
      <c r="AG311"/>
      <c r="AH311"/>
      <c r="BI311" s="2"/>
      <c r="BJ311" s="3"/>
      <c r="BK311" s="3"/>
      <c r="BL311" s="3"/>
      <c r="BM311" s="3"/>
    </row>
    <row r="312" spans="1:65" ht="15">
      <c r="A312"/>
      <c r="J312"/>
      <c r="AA312"/>
      <c r="AB312"/>
      <c r="AC312"/>
      <c r="AD312"/>
      <c r="AE312"/>
      <c r="AF312"/>
      <c r="AG312"/>
      <c r="AH312"/>
      <c r="BI312" s="2"/>
      <c r="BJ312" s="3"/>
      <c r="BK312" s="3"/>
      <c r="BL312" s="3"/>
      <c r="BM312" s="3"/>
    </row>
    <row r="313" spans="1:65" ht="15">
      <c r="A313"/>
      <c r="J313"/>
      <c r="AA313"/>
      <c r="AB313"/>
      <c r="AC313"/>
      <c r="AD313"/>
      <c r="AE313"/>
      <c r="AF313"/>
      <c r="AG313"/>
      <c r="AH313"/>
      <c r="BI313" s="2"/>
      <c r="BJ313" s="3"/>
      <c r="BK313" s="3"/>
      <c r="BL313" s="3"/>
      <c r="BM313" s="3"/>
    </row>
    <row r="314" spans="1:65" ht="15">
      <c r="A314"/>
      <c r="J314"/>
      <c r="AA314"/>
      <c r="AB314"/>
      <c r="AC314"/>
      <c r="AD314"/>
      <c r="AE314"/>
      <c r="AF314"/>
      <c r="AG314"/>
      <c r="AH314"/>
      <c r="BI314" s="2"/>
      <c r="BJ314" s="3"/>
      <c r="BK314" s="3"/>
      <c r="BL314" s="3"/>
      <c r="BM314" s="3"/>
    </row>
    <row r="315" spans="1:65" ht="15">
      <c r="A315"/>
      <c r="J315"/>
      <c r="AA315"/>
      <c r="AB315"/>
      <c r="AC315"/>
      <c r="AD315"/>
      <c r="AE315"/>
      <c r="AF315"/>
      <c r="AG315"/>
      <c r="AH315"/>
      <c r="BI315" s="2"/>
      <c r="BJ315" s="3"/>
      <c r="BK315" s="3"/>
      <c r="BL315" s="3"/>
      <c r="BM315" s="3"/>
    </row>
    <row r="316" spans="1:65" ht="15">
      <c r="A316"/>
      <c r="J316"/>
      <c r="AA316"/>
      <c r="AB316"/>
      <c r="AC316"/>
      <c r="AD316"/>
      <c r="AE316"/>
      <c r="AF316"/>
      <c r="AG316"/>
      <c r="AH316"/>
      <c r="BI316" s="2"/>
      <c r="BJ316" s="3"/>
      <c r="BK316" s="3"/>
      <c r="BL316" s="3"/>
      <c r="BM316" s="3"/>
    </row>
    <row r="317" spans="1:65" ht="15">
      <c r="A317"/>
      <c r="J317"/>
      <c r="AA317"/>
      <c r="AB317"/>
      <c r="AC317"/>
      <c r="AD317"/>
      <c r="AE317"/>
      <c r="AF317"/>
      <c r="AG317"/>
      <c r="AH317"/>
      <c r="BI317" s="2"/>
      <c r="BJ317" s="3"/>
      <c r="BK317" s="3"/>
      <c r="BL317" s="3"/>
      <c r="BM317" s="3"/>
    </row>
    <row r="318" spans="1:65" ht="15">
      <c r="A318"/>
      <c r="J318"/>
      <c r="AA318"/>
      <c r="AB318"/>
      <c r="AC318"/>
      <c r="AD318"/>
      <c r="AE318"/>
      <c r="AF318"/>
      <c r="AG318"/>
      <c r="AH318"/>
      <c r="BI318" s="2"/>
      <c r="BJ318" s="3"/>
      <c r="BK318" s="3"/>
      <c r="BL318" s="3"/>
      <c r="BM318" s="3"/>
    </row>
    <row r="319" spans="1:65" ht="15">
      <c r="A319"/>
      <c r="J319"/>
      <c r="AA319"/>
      <c r="AB319"/>
      <c r="AC319"/>
      <c r="AD319"/>
      <c r="AE319"/>
      <c r="AF319"/>
      <c r="AG319"/>
      <c r="AH319"/>
      <c r="BI319" s="2"/>
      <c r="BJ319" s="3"/>
      <c r="BK319" s="3"/>
      <c r="BL319" s="3"/>
      <c r="BM319" s="3"/>
    </row>
    <row r="320" spans="1:65" ht="15">
      <c r="A320"/>
      <c r="J320"/>
      <c r="AA320"/>
      <c r="AB320"/>
      <c r="AC320"/>
      <c r="AD320"/>
      <c r="AE320"/>
      <c r="AF320"/>
      <c r="AG320"/>
      <c r="AH320"/>
      <c r="BI320" s="2"/>
      <c r="BJ320" s="3"/>
      <c r="BK320" s="3"/>
      <c r="BL320" s="3"/>
      <c r="BM320" s="3"/>
    </row>
    <row r="321" spans="1:65" ht="15">
      <c r="A321"/>
      <c r="J321"/>
      <c r="AA321"/>
      <c r="AB321"/>
      <c r="AC321"/>
      <c r="AD321"/>
      <c r="AE321"/>
      <c r="AF321"/>
      <c r="AG321"/>
      <c r="AH321"/>
      <c r="BI321" s="2"/>
      <c r="BJ321" s="3"/>
      <c r="BK321" s="3"/>
      <c r="BL321" s="3"/>
      <c r="BM321" s="3"/>
    </row>
    <row r="322" spans="1:65" ht="15">
      <c r="A322"/>
      <c r="J322"/>
      <c r="AA322"/>
      <c r="AB322"/>
      <c r="AC322"/>
      <c r="AD322"/>
      <c r="AE322"/>
      <c r="AF322"/>
      <c r="AG322"/>
      <c r="AH322"/>
      <c r="BI322" s="2"/>
      <c r="BJ322" s="3"/>
      <c r="BK322" s="3"/>
      <c r="BL322" s="3"/>
      <c r="BM322" s="3"/>
    </row>
    <row r="323" spans="1:65" ht="15">
      <c r="A323"/>
      <c r="J323"/>
      <c r="AA323"/>
      <c r="AB323"/>
      <c r="AC323"/>
      <c r="AD323"/>
      <c r="AE323"/>
      <c r="AF323"/>
      <c r="AG323"/>
      <c r="AH323"/>
      <c r="BI323" s="2"/>
      <c r="BJ323" s="3"/>
      <c r="BK323" s="3"/>
      <c r="BL323" s="3"/>
      <c r="BM323" s="3"/>
    </row>
    <row r="324" spans="1:65" ht="15">
      <c r="A324"/>
      <c r="J324"/>
      <c r="AA324"/>
      <c r="AB324"/>
      <c r="AC324"/>
      <c r="AD324"/>
      <c r="AE324"/>
      <c r="AF324"/>
      <c r="AG324"/>
      <c r="AH324"/>
      <c r="BI324" s="2"/>
      <c r="BJ324" s="3"/>
      <c r="BK324" s="3"/>
      <c r="BL324" s="3"/>
      <c r="BM324" s="3"/>
    </row>
    <row r="325" spans="1:65" ht="15">
      <c r="A325"/>
      <c r="J325"/>
      <c r="AA325"/>
      <c r="AB325"/>
      <c r="AC325"/>
      <c r="AD325"/>
      <c r="AE325"/>
      <c r="AF325"/>
      <c r="AG325"/>
      <c r="AH325"/>
      <c r="BI325" s="2"/>
      <c r="BJ325" s="3"/>
      <c r="BK325" s="3"/>
      <c r="BL325" s="3"/>
      <c r="BM325" s="3"/>
    </row>
    <row r="326" spans="1:65" ht="15">
      <c r="A326"/>
      <c r="J326"/>
      <c r="AA326"/>
      <c r="AB326"/>
      <c r="AC326"/>
      <c r="AD326"/>
      <c r="AE326"/>
      <c r="AF326"/>
      <c r="AG326"/>
      <c r="AH326"/>
      <c r="BI326" s="2"/>
      <c r="BJ326" s="3"/>
      <c r="BK326" s="3"/>
      <c r="BL326" s="3"/>
      <c r="BM326" s="3"/>
    </row>
    <row r="327" spans="1:65" ht="15">
      <c r="A327"/>
      <c r="J327"/>
      <c r="AA327"/>
      <c r="AB327"/>
      <c r="AC327"/>
      <c r="AD327"/>
      <c r="AE327"/>
      <c r="AF327"/>
      <c r="AG327"/>
      <c r="AH327"/>
      <c r="BI327" s="2"/>
      <c r="BJ327" s="3"/>
      <c r="BK327" s="3"/>
      <c r="BL327" s="3"/>
      <c r="BM327" s="3"/>
    </row>
    <row r="328" spans="1:65" ht="15">
      <c r="A328"/>
      <c r="J328"/>
      <c r="AA328"/>
      <c r="AB328"/>
      <c r="AC328"/>
      <c r="AD328"/>
      <c r="AE328"/>
      <c r="AF328"/>
      <c r="AG328"/>
      <c r="AH328"/>
      <c r="BI328" s="2"/>
      <c r="BJ328" s="3"/>
      <c r="BK328" s="3"/>
      <c r="BL328" s="3"/>
      <c r="BM328" s="3"/>
    </row>
    <row r="329" spans="1:65" ht="15">
      <c r="A329"/>
      <c r="J329"/>
      <c r="AA329"/>
      <c r="AB329"/>
      <c r="AC329"/>
      <c r="AD329"/>
      <c r="AE329"/>
      <c r="AF329"/>
      <c r="AG329"/>
      <c r="AH329"/>
      <c r="BI329" s="2"/>
      <c r="BJ329" s="3"/>
      <c r="BK329" s="3"/>
      <c r="BL329" s="3"/>
      <c r="BM329" s="3"/>
    </row>
    <row r="330" spans="1:65" ht="15">
      <c r="A330"/>
      <c r="J330"/>
      <c r="AA330"/>
      <c r="AB330"/>
      <c r="AC330"/>
      <c r="AD330"/>
      <c r="AE330"/>
      <c r="AF330"/>
      <c r="AG330"/>
      <c r="AH330"/>
      <c r="BI330" s="2"/>
      <c r="BJ330" s="3"/>
      <c r="BK330" s="3"/>
      <c r="BL330" s="3"/>
      <c r="BM330" s="3"/>
    </row>
    <row r="331" spans="1:65" ht="15">
      <c r="A331"/>
      <c r="J331"/>
      <c r="AA331"/>
      <c r="AB331"/>
      <c r="AC331"/>
      <c r="AD331"/>
      <c r="AE331"/>
      <c r="AF331"/>
      <c r="AG331"/>
      <c r="AH331"/>
      <c r="BI331" s="2"/>
      <c r="BJ331" s="3"/>
      <c r="BK331" s="3"/>
      <c r="BL331" s="3"/>
      <c r="BM331" s="3"/>
    </row>
    <row r="332" spans="1:65" ht="15">
      <c r="A332"/>
      <c r="J332"/>
      <c r="AA332"/>
      <c r="AB332"/>
      <c r="AC332"/>
      <c r="AD332"/>
      <c r="AE332"/>
      <c r="AF332"/>
      <c r="AG332"/>
      <c r="AH332"/>
      <c r="BI332" s="2"/>
      <c r="BJ332" s="3"/>
      <c r="BK332" s="3"/>
      <c r="BL332" s="3"/>
      <c r="BM332" s="3"/>
    </row>
    <row r="333" spans="1:65" ht="15">
      <c r="A333"/>
      <c r="J333"/>
      <c r="AA333"/>
      <c r="AB333"/>
      <c r="AC333"/>
      <c r="AD333"/>
      <c r="AE333"/>
      <c r="AF333"/>
      <c r="AG333"/>
      <c r="AH333"/>
      <c r="BI333" s="2"/>
      <c r="BJ333" s="3"/>
      <c r="BK333" s="3"/>
      <c r="BL333" s="3"/>
      <c r="BM333" s="3"/>
    </row>
    <row r="334" spans="1:65" ht="15">
      <c r="A334"/>
      <c r="J334"/>
      <c r="AA334"/>
      <c r="AB334"/>
      <c r="AC334"/>
      <c r="AD334"/>
      <c r="AE334"/>
      <c r="AF334"/>
      <c r="AG334"/>
      <c r="AH334"/>
      <c r="BI334" s="2"/>
      <c r="BJ334" s="3"/>
      <c r="BK334" s="3"/>
      <c r="BL334" s="3"/>
      <c r="BM334" s="3"/>
    </row>
    <row r="335" spans="1:65" ht="15">
      <c r="A335"/>
      <c r="J335"/>
      <c r="AA335"/>
      <c r="AB335"/>
      <c r="AC335"/>
      <c r="AD335"/>
      <c r="AE335"/>
      <c r="AF335"/>
      <c r="AG335"/>
      <c r="AH335"/>
      <c r="BI335" s="2"/>
      <c r="BJ335" s="3"/>
      <c r="BK335" s="3"/>
      <c r="BL335" s="3"/>
      <c r="BM335" s="3"/>
    </row>
    <row r="336" spans="1:65" ht="15">
      <c r="A336"/>
      <c r="J336"/>
      <c r="AA336"/>
      <c r="AB336"/>
      <c r="AC336"/>
      <c r="AD336"/>
      <c r="AE336"/>
      <c r="AF336"/>
      <c r="AG336"/>
      <c r="AH336"/>
      <c r="BI336" s="2"/>
      <c r="BJ336" s="3"/>
      <c r="BK336" s="3"/>
      <c r="BL336" s="3"/>
      <c r="BM336" s="3"/>
    </row>
    <row r="337" spans="1:65" ht="15">
      <c r="A337"/>
      <c r="J337"/>
      <c r="AA337"/>
      <c r="AB337"/>
      <c r="AC337"/>
      <c r="AD337"/>
      <c r="AE337"/>
      <c r="AF337"/>
      <c r="AG337"/>
      <c r="AH337"/>
      <c r="BI337" s="2"/>
      <c r="BJ337" s="3"/>
      <c r="BK337" s="3"/>
      <c r="BL337" s="3"/>
      <c r="BM337" s="3"/>
    </row>
    <row r="338" spans="1:65" ht="15">
      <c r="A338"/>
      <c r="J338"/>
      <c r="AA338"/>
      <c r="AB338"/>
      <c r="AC338"/>
      <c r="AD338"/>
      <c r="AE338"/>
      <c r="AF338"/>
      <c r="AG338"/>
      <c r="AH338"/>
      <c r="BI338" s="2"/>
      <c r="BJ338" s="3"/>
      <c r="BK338" s="3"/>
      <c r="BL338" s="3"/>
      <c r="BM338" s="3"/>
    </row>
    <row r="339" spans="1:65" ht="15">
      <c r="A339"/>
      <c r="J339"/>
      <c r="AA339"/>
      <c r="AB339"/>
      <c r="AC339"/>
      <c r="AD339"/>
      <c r="AE339"/>
      <c r="AF339"/>
      <c r="AG339"/>
      <c r="AH339"/>
      <c r="BI339" s="2"/>
      <c r="BJ339" s="3"/>
      <c r="BK339" s="3"/>
      <c r="BL339" s="3"/>
      <c r="BM339" s="3"/>
    </row>
    <row r="340" spans="1:65" ht="15">
      <c r="A340"/>
      <c r="J340"/>
      <c r="AA340"/>
      <c r="AB340"/>
      <c r="AC340"/>
      <c r="AD340"/>
      <c r="AE340"/>
      <c r="AF340"/>
      <c r="AG340"/>
      <c r="AH340"/>
      <c r="BI340" s="2"/>
      <c r="BJ340" s="3"/>
      <c r="BK340" s="3"/>
      <c r="BL340" s="3"/>
      <c r="BM340" s="3"/>
    </row>
    <row r="341" spans="1:65" ht="15">
      <c r="A341"/>
      <c r="J341"/>
      <c r="AA341"/>
      <c r="AB341"/>
      <c r="AC341"/>
      <c r="AD341"/>
      <c r="AE341"/>
      <c r="AF341"/>
      <c r="AG341"/>
      <c r="AH341"/>
      <c r="BI341" s="2"/>
      <c r="BJ341" s="3"/>
      <c r="BK341" s="3"/>
      <c r="BL341" s="3"/>
      <c r="BM341" s="3"/>
    </row>
    <row r="342" spans="1:65" ht="15">
      <c r="A342"/>
      <c r="J342"/>
      <c r="AA342"/>
      <c r="AB342"/>
      <c r="AC342"/>
      <c r="AD342"/>
      <c r="AE342"/>
      <c r="AF342"/>
      <c r="AG342"/>
      <c r="AH342"/>
      <c r="BI342" s="2"/>
      <c r="BJ342" s="3"/>
      <c r="BK342" s="3"/>
      <c r="BL342" s="3"/>
      <c r="BM342" s="3"/>
    </row>
    <row r="343" spans="1:65" ht="15">
      <c r="A343"/>
      <c r="J343"/>
      <c r="AA343"/>
      <c r="AB343"/>
      <c r="AC343"/>
      <c r="AD343"/>
      <c r="AE343"/>
      <c r="AF343"/>
      <c r="AG343"/>
      <c r="AH343"/>
      <c r="BI343" s="2"/>
      <c r="BJ343" s="3"/>
      <c r="BK343" s="3"/>
      <c r="BL343" s="3"/>
      <c r="BM343" s="3"/>
    </row>
    <row r="344" spans="1:65" ht="15">
      <c r="A344"/>
      <c r="J344"/>
      <c r="AA344"/>
      <c r="AB344"/>
      <c r="AC344"/>
      <c r="AD344"/>
      <c r="AE344"/>
      <c r="AF344"/>
      <c r="AG344"/>
      <c r="AH344"/>
      <c r="BI344" s="2"/>
      <c r="BJ344" s="3"/>
      <c r="BK344" s="3"/>
      <c r="BL344" s="3"/>
      <c r="BM344" s="3"/>
    </row>
    <row r="345" spans="1:65" ht="15">
      <c r="A345"/>
      <c r="J345"/>
      <c r="AA345"/>
      <c r="AB345"/>
      <c r="AC345"/>
      <c r="AD345"/>
      <c r="AE345"/>
      <c r="AF345"/>
      <c r="AG345"/>
      <c r="AH345"/>
      <c r="BI345" s="2"/>
      <c r="BJ345" s="3"/>
      <c r="BK345" s="3"/>
      <c r="BL345" s="3"/>
      <c r="BM345" s="3"/>
    </row>
    <row r="346" spans="1:65" ht="15">
      <c r="A346"/>
      <c r="J346"/>
      <c r="AA346"/>
      <c r="AB346"/>
      <c r="AC346"/>
      <c r="AD346"/>
      <c r="AE346"/>
      <c r="AF346"/>
      <c r="AG346"/>
      <c r="AH346"/>
      <c r="BI346" s="2"/>
      <c r="BJ346" s="3"/>
      <c r="BK346" s="3"/>
      <c r="BL346" s="3"/>
      <c r="BM346" s="3"/>
    </row>
    <row r="347" spans="1:65" ht="15">
      <c r="A347"/>
      <c r="J347"/>
      <c r="AA347"/>
      <c r="AB347"/>
      <c r="AC347"/>
      <c r="AD347"/>
      <c r="AE347"/>
      <c r="AF347"/>
      <c r="AG347"/>
      <c r="AH347"/>
      <c r="BI347" s="2"/>
      <c r="BJ347" s="3"/>
      <c r="BK347" s="3"/>
      <c r="BL347" s="3"/>
      <c r="BM347" s="3"/>
    </row>
    <row r="348" spans="1:65" ht="15">
      <c r="A348"/>
      <c r="J348"/>
      <c r="AA348"/>
      <c r="AB348"/>
      <c r="AC348"/>
      <c r="AD348"/>
      <c r="AE348"/>
      <c r="AF348"/>
      <c r="AG348"/>
      <c r="AH348"/>
      <c r="BI348" s="2"/>
      <c r="BJ348" s="3"/>
      <c r="BK348" s="3"/>
      <c r="BL348" s="3"/>
      <c r="BM348" s="3"/>
    </row>
    <row r="349" spans="1:65" ht="15">
      <c r="A349"/>
      <c r="J349"/>
      <c r="AA349"/>
      <c r="AB349"/>
      <c r="AC349"/>
      <c r="AD349"/>
      <c r="AE349"/>
      <c r="AF349"/>
      <c r="AG349"/>
      <c r="AH349"/>
      <c r="BI349" s="2"/>
      <c r="BJ349" s="3"/>
      <c r="BK349" s="3"/>
      <c r="BL349" s="3"/>
      <c r="BM349" s="3"/>
    </row>
    <row r="350" spans="1:65" ht="15">
      <c r="A350"/>
      <c r="J350"/>
      <c r="AA350"/>
      <c r="AB350"/>
      <c r="AC350"/>
      <c r="AD350"/>
      <c r="AE350"/>
      <c r="AF350"/>
      <c r="AG350"/>
      <c r="AH350"/>
      <c r="BI350" s="2"/>
      <c r="BJ350" s="3"/>
      <c r="BK350" s="3"/>
      <c r="BL350" s="3"/>
      <c r="BM350" s="3"/>
    </row>
    <row r="351" spans="1:65" ht="15">
      <c r="A351"/>
      <c r="J351"/>
      <c r="AA351"/>
      <c r="AB351"/>
      <c r="AC351"/>
      <c r="AD351"/>
      <c r="AE351"/>
      <c r="AF351"/>
      <c r="AG351"/>
      <c r="AH351"/>
      <c r="BI351" s="2"/>
      <c r="BJ351" s="3"/>
      <c r="BK351" s="3"/>
      <c r="BL351" s="3"/>
      <c r="BM351" s="3"/>
    </row>
    <row r="352" spans="1:65" ht="15">
      <c r="A352"/>
      <c r="J352"/>
      <c r="AA352"/>
      <c r="AB352"/>
      <c r="AC352"/>
      <c r="AD352"/>
      <c r="AE352"/>
      <c r="AF352"/>
      <c r="AG352"/>
      <c r="AH352"/>
      <c r="BI352" s="2"/>
      <c r="BJ352" s="3"/>
      <c r="BK352" s="3"/>
      <c r="BL352" s="3"/>
      <c r="BM352" s="3"/>
    </row>
    <row r="353" spans="1:65" ht="15">
      <c r="A353"/>
      <c r="J353"/>
      <c r="AA353"/>
      <c r="AB353"/>
      <c r="AC353"/>
      <c r="AD353"/>
      <c r="AE353"/>
      <c r="AF353"/>
      <c r="AG353"/>
      <c r="AH353"/>
      <c r="BI353" s="2"/>
      <c r="BJ353" s="3"/>
      <c r="BK353" s="3"/>
      <c r="BL353" s="3"/>
      <c r="BM353" s="3"/>
    </row>
    <row r="354" spans="1:65" ht="15">
      <c r="A354"/>
      <c r="J354"/>
      <c r="AA354"/>
      <c r="AB354"/>
      <c r="AC354"/>
      <c r="AD354"/>
      <c r="AE354"/>
      <c r="AF354"/>
      <c r="AG354"/>
      <c r="AH354"/>
      <c r="BI354" s="2"/>
      <c r="BJ354" s="3"/>
      <c r="BK354" s="3"/>
      <c r="BL354" s="3"/>
      <c r="BM354" s="3"/>
    </row>
    <row r="355" spans="1:65" ht="15">
      <c r="A355"/>
      <c r="J355"/>
      <c r="AA355"/>
      <c r="AB355"/>
      <c r="AC355"/>
      <c r="AD355"/>
      <c r="AE355"/>
      <c r="AF355"/>
      <c r="AG355"/>
      <c r="AH355"/>
      <c r="BI355" s="2"/>
      <c r="BJ355" s="3"/>
      <c r="BK355" s="3"/>
      <c r="BL355" s="3"/>
      <c r="BM355" s="3"/>
    </row>
    <row r="356" spans="1:65" ht="15">
      <c r="A356"/>
      <c r="J356"/>
      <c r="AA356"/>
      <c r="AB356"/>
      <c r="AC356"/>
      <c r="AD356"/>
      <c r="AE356"/>
      <c r="AF356"/>
      <c r="AG356"/>
      <c r="AH356"/>
      <c r="BI356" s="2"/>
      <c r="BJ356" s="3"/>
      <c r="BK356" s="3"/>
      <c r="BL356" s="3"/>
      <c r="BM356" s="3"/>
    </row>
    <row r="357" spans="1:65" ht="15">
      <c r="A357"/>
      <c r="J357"/>
      <c r="AA357"/>
      <c r="AB357"/>
      <c r="AC357"/>
      <c r="AD357"/>
      <c r="AE357"/>
      <c r="AF357"/>
      <c r="AG357"/>
      <c r="AH357"/>
      <c r="BI357" s="2"/>
      <c r="BJ357" s="3"/>
      <c r="BK357" s="3"/>
      <c r="BL357" s="3"/>
      <c r="BM357" s="3"/>
    </row>
    <row r="358" spans="1:65" ht="15">
      <c r="A358"/>
      <c r="J358"/>
      <c r="AA358"/>
      <c r="AB358"/>
      <c r="AC358"/>
      <c r="AD358"/>
      <c r="AE358"/>
      <c r="AF358"/>
      <c r="AG358"/>
      <c r="AH358"/>
      <c r="BI358" s="2"/>
      <c r="BJ358" s="3"/>
      <c r="BK358" s="3"/>
      <c r="BL358" s="3"/>
      <c r="BM358" s="3"/>
    </row>
    <row r="359" spans="1:65" ht="15">
      <c r="A359"/>
      <c r="J359"/>
      <c r="AA359"/>
      <c r="AB359"/>
      <c r="AC359"/>
      <c r="AD359"/>
      <c r="AE359"/>
      <c r="AF359"/>
      <c r="AG359"/>
      <c r="AH359"/>
      <c r="BI359" s="2"/>
      <c r="BJ359" s="3"/>
      <c r="BK359" s="3"/>
      <c r="BL359" s="3"/>
      <c r="BM359" s="3"/>
    </row>
    <row r="360" spans="1:65" ht="15">
      <c r="A360"/>
      <c r="J360"/>
      <c r="AA360"/>
      <c r="AB360"/>
      <c r="AC360"/>
      <c r="AD360"/>
      <c r="AE360"/>
      <c r="AF360"/>
      <c r="AG360"/>
      <c r="AH360"/>
      <c r="BI360" s="2"/>
      <c r="BJ360" s="3"/>
      <c r="BK360" s="3"/>
      <c r="BL360" s="3"/>
      <c r="BM360" s="3"/>
    </row>
    <row r="361" spans="1:65" ht="15">
      <c r="A361"/>
      <c r="J361"/>
      <c r="AA361"/>
      <c r="AB361"/>
      <c r="AC361"/>
      <c r="AD361"/>
      <c r="AE361"/>
      <c r="AF361"/>
      <c r="AG361"/>
      <c r="AH361"/>
      <c r="BI361" s="2"/>
      <c r="BJ361" s="3"/>
      <c r="BK361" s="3"/>
      <c r="BL361" s="3"/>
      <c r="BM361" s="3"/>
    </row>
    <row r="362" spans="1:65" ht="15">
      <c r="A362"/>
      <c r="J362"/>
      <c r="AA362"/>
      <c r="AB362"/>
      <c r="AC362"/>
      <c r="AD362"/>
      <c r="AE362"/>
      <c r="AF362"/>
      <c r="AG362"/>
      <c r="AH362"/>
      <c r="BI362" s="2"/>
      <c r="BJ362" s="3"/>
      <c r="BK362" s="3"/>
      <c r="BL362" s="3"/>
      <c r="BM362" s="3"/>
    </row>
    <row r="363" spans="1:65" ht="15">
      <c r="A363"/>
      <c r="J363"/>
      <c r="AA363"/>
      <c r="AB363"/>
      <c r="AC363"/>
      <c r="AD363"/>
      <c r="AE363"/>
      <c r="AF363"/>
      <c r="AG363"/>
      <c r="AH363"/>
      <c r="BI363" s="2"/>
      <c r="BJ363" s="3"/>
      <c r="BK363" s="3"/>
      <c r="BL363" s="3"/>
      <c r="BM363" s="3"/>
    </row>
    <row r="364" spans="1:65" ht="15">
      <c r="A364"/>
      <c r="J364"/>
      <c r="AA364"/>
      <c r="AB364"/>
      <c r="AC364"/>
      <c r="AD364"/>
      <c r="AE364"/>
      <c r="AF364"/>
      <c r="AG364"/>
      <c r="AH364"/>
      <c r="BI364" s="2"/>
      <c r="BJ364" s="3"/>
      <c r="BK364" s="3"/>
      <c r="BL364" s="3"/>
      <c r="BM364" s="3"/>
    </row>
    <row r="365" spans="1:65" ht="15">
      <c r="A365"/>
      <c r="J365"/>
      <c r="AA365"/>
      <c r="AB365"/>
      <c r="AC365"/>
      <c r="AD365"/>
      <c r="AE365"/>
      <c r="AF365"/>
      <c r="AG365"/>
      <c r="AH365"/>
      <c r="BI365" s="2"/>
      <c r="BJ365" s="3"/>
      <c r="BK365" s="3"/>
      <c r="BL365" s="3"/>
      <c r="BM365" s="3"/>
    </row>
    <row r="366" spans="1:65" ht="15">
      <c r="A366"/>
      <c r="J366"/>
      <c r="AA366"/>
      <c r="AB366"/>
      <c r="AC366"/>
      <c r="AD366"/>
      <c r="AE366"/>
      <c r="AF366"/>
      <c r="AG366"/>
      <c r="AH366"/>
      <c r="BI366" s="2"/>
      <c r="BJ366" s="3"/>
      <c r="BK366" s="3"/>
      <c r="BL366" s="3"/>
      <c r="BM366" s="3"/>
    </row>
    <row r="367" spans="1:65" ht="15">
      <c r="A367"/>
      <c r="J367"/>
      <c r="AA367"/>
      <c r="AB367"/>
      <c r="AC367"/>
      <c r="AD367"/>
      <c r="AE367"/>
      <c r="AF367"/>
      <c r="AG367"/>
      <c r="AH367"/>
      <c r="BI367" s="2"/>
      <c r="BJ367" s="3"/>
      <c r="BK367" s="3"/>
      <c r="BL367" s="3"/>
      <c r="BM367" s="3"/>
    </row>
    <row r="368" spans="1:65" ht="15">
      <c r="A368"/>
      <c r="J368"/>
      <c r="AA368"/>
      <c r="AB368"/>
      <c r="AC368"/>
      <c r="AD368"/>
      <c r="AE368"/>
      <c r="AF368"/>
      <c r="AG368"/>
      <c r="AH368"/>
      <c r="BI368" s="2"/>
      <c r="BJ368" s="3"/>
      <c r="BK368" s="3"/>
      <c r="BL368" s="3"/>
      <c r="BM368" s="3"/>
    </row>
    <row r="369" spans="1:65" ht="15">
      <c r="A369"/>
      <c r="J369"/>
      <c r="AA369"/>
      <c r="AB369"/>
      <c r="AC369"/>
      <c r="AD369"/>
      <c r="AE369"/>
      <c r="AF369"/>
      <c r="AG369"/>
      <c r="AH369"/>
      <c r="BI369" s="2"/>
      <c r="BJ369" s="3"/>
      <c r="BK369" s="3"/>
      <c r="BL369" s="3"/>
      <c r="BM369" s="3"/>
    </row>
    <row r="370" spans="1:65" ht="15">
      <c r="A370"/>
      <c r="J370"/>
      <c r="AA370"/>
      <c r="AB370"/>
      <c r="AC370"/>
      <c r="AD370"/>
      <c r="AE370"/>
      <c r="AF370"/>
      <c r="AG370"/>
      <c r="AH370"/>
      <c r="BI370" s="2"/>
      <c r="BJ370" s="3"/>
      <c r="BK370" s="3"/>
      <c r="BL370" s="3"/>
      <c r="BM370" s="3"/>
    </row>
    <row r="371" spans="1:65" ht="15">
      <c r="A371"/>
      <c r="J371"/>
      <c r="AA371"/>
      <c r="AB371"/>
      <c r="AC371"/>
      <c r="AD371"/>
      <c r="AE371"/>
      <c r="AF371"/>
      <c r="AG371"/>
      <c r="AH371"/>
      <c r="BI371" s="2"/>
      <c r="BJ371" s="3"/>
      <c r="BK371" s="3"/>
      <c r="BL371" s="3"/>
      <c r="BM371" s="3"/>
    </row>
    <row r="372" spans="1:65" ht="15">
      <c r="A372"/>
      <c r="J372"/>
      <c r="AA372"/>
      <c r="AB372"/>
      <c r="AC372"/>
      <c r="AD372"/>
      <c r="AE372"/>
      <c r="AF372"/>
      <c r="AG372"/>
      <c r="AH372"/>
      <c r="BI372" s="2"/>
      <c r="BJ372" s="3"/>
      <c r="BK372" s="3"/>
      <c r="BL372" s="3"/>
      <c r="BM372" s="3"/>
    </row>
    <row r="373" spans="1:65" ht="15">
      <c r="A373"/>
      <c r="J373"/>
      <c r="AA373"/>
      <c r="AB373"/>
      <c r="AC373"/>
      <c r="AD373"/>
      <c r="AE373"/>
      <c r="AF373"/>
      <c r="AG373"/>
      <c r="AH373"/>
      <c r="BI373" s="2"/>
      <c r="BJ373" s="3"/>
      <c r="BK373" s="3"/>
      <c r="BL373" s="3"/>
      <c r="BM373" s="3"/>
    </row>
    <row r="374" spans="1:65" ht="15">
      <c r="A374"/>
      <c r="J374"/>
      <c r="AA374"/>
      <c r="AB374"/>
      <c r="AC374"/>
      <c r="AD374"/>
      <c r="AE374"/>
      <c r="AF374"/>
      <c r="AG374"/>
      <c r="AH374"/>
      <c r="BI374" s="2"/>
      <c r="BJ374" s="3"/>
      <c r="BK374" s="3"/>
      <c r="BL374" s="3"/>
      <c r="BM374" s="3"/>
    </row>
    <row r="375" spans="1:65" ht="15">
      <c r="A375"/>
      <c r="J375"/>
      <c r="AA375"/>
      <c r="AB375"/>
      <c r="AC375"/>
      <c r="AD375"/>
      <c r="AE375"/>
      <c r="AF375"/>
      <c r="AG375"/>
      <c r="AH375"/>
      <c r="BI375" s="2"/>
      <c r="BJ375" s="3"/>
      <c r="BK375" s="3"/>
      <c r="BL375" s="3"/>
      <c r="BM375" s="3"/>
    </row>
    <row r="376" spans="1:65" ht="15">
      <c r="A376"/>
      <c r="J376"/>
      <c r="AA376"/>
      <c r="AB376"/>
      <c r="AC376"/>
      <c r="AD376"/>
      <c r="AE376"/>
      <c r="AF376"/>
      <c r="AG376"/>
      <c r="AH376"/>
      <c r="BI376" s="2"/>
      <c r="BJ376" s="3"/>
      <c r="BK376" s="3"/>
      <c r="BL376" s="3"/>
      <c r="BM376" s="3"/>
    </row>
    <row r="377" spans="1:65" ht="15">
      <c r="A377"/>
      <c r="J377"/>
      <c r="AA377"/>
      <c r="AB377"/>
      <c r="AC377"/>
      <c r="AD377"/>
      <c r="AE377"/>
      <c r="AF377"/>
      <c r="AG377"/>
      <c r="AH377"/>
      <c r="BI377" s="2"/>
      <c r="BJ377" s="3"/>
      <c r="BK377" s="3"/>
      <c r="BL377" s="3"/>
      <c r="BM377" s="3"/>
    </row>
    <row r="378" spans="1:65" ht="15">
      <c r="A378"/>
      <c r="J378"/>
      <c r="AA378"/>
      <c r="AB378"/>
      <c r="AC378"/>
      <c r="AD378"/>
      <c r="AE378"/>
      <c r="AF378"/>
      <c r="AG378"/>
      <c r="AH378"/>
      <c r="BI378" s="2"/>
      <c r="BJ378" s="3"/>
      <c r="BK378" s="3"/>
      <c r="BL378" s="3"/>
      <c r="BM378" s="3"/>
    </row>
    <row r="379" spans="1:65" ht="15">
      <c r="A379"/>
      <c r="J379"/>
      <c r="AA379"/>
      <c r="AB379"/>
      <c r="AC379"/>
      <c r="AD379"/>
      <c r="AE379"/>
      <c r="AF379"/>
      <c r="AG379"/>
      <c r="AH379"/>
      <c r="BI379" s="2"/>
      <c r="BJ379" s="3"/>
      <c r="BK379" s="3"/>
      <c r="BL379" s="3"/>
      <c r="BM379" s="3"/>
    </row>
    <row r="380" spans="1:65" ht="15">
      <c r="A380"/>
      <c r="J380"/>
      <c r="AA380"/>
      <c r="AB380"/>
      <c r="AC380"/>
      <c r="AD380"/>
      <c r="AE380"/>
      <c r="AF380"/>
      <c r="AG380"/>
      <c r="AH380"/>
      <c r="BI380" s="2"/>
      <c r="BJ380" s="3"/>
      <c r="BK380" s="3"/>
      <c r="BL380" s="3"/>
      <c r="BM380" s="3"/>
    </row>
    <row r="381" spans="1:65" ht="15">
      <c r="A381"/>
      <c r="J381"/>
      <c r="AA381"/>
      <c r="AB381"/>
      <c r="AC381"/>
      <c r="AD381"/>
      <c r="AE381"/>
      <c r="AF381"/>
      <c r="AG381"/>
      <c r="AH381"/>
      <c r="BI381" s="2"/>
      <c r="BJ381" s="3"/>
      <c r="BK381" s="3"/>
      <c r="BL381" s="3"/>
      <c r="BM381" s="3"/>
    </row>
    <row r="382" spans="1:65" ht="15">
      <c r="A382"/>
      <c r="J382"/>
      <c r="AA382"/>
      <c r="AB382"/>
      <c r="AC382"/>
      <c r="AD382"/>
      <c r="AE382"/>
      <c r="AF382"/>
      <c r="AG382"/>
      <c r="AH382"/>
      <c r="BI382" s="2"/>
      <c r="BJ382" s="3"/>
      <c r="BK382" s="3"/>
      <c r="BL382" s="3"/>
      <c r="BM382" s="3"/>
    </row>
    <row r="383" spans="1:65" ht="15">
      <c r="A383"/>
      <c r="J383"/>
      <c r="AA383"/>
      <c r="AB383"/>
      <c r="AC383"/>
      <c r="AD383"/>
      <c r="AE383"/>
      <c r="AF383"/>
      <c r="AG383"/>
      <c r="AH383"/>
      <c r="BI383" s="2"/>
      <c r="BJ383" s="3"/>
      <c r="BK383" s="3"/>
      <c r="BL383" s="3"/>
      <c r="BM383" s="3"/>
    </row>
    <row r="384" spans="1:65" ht="15">
      <c r="A384"/>
      <c r="J384"/>
      <c r="AA384"/>
      <c r="AB384"/>
      <c r="AC384"/>
      <c r="AD384"/>
      <c r="AE384"/>
      <c r="AF384"/>
      <c r="AG384"/>
      <c r="AH384"/>
      <c r="BI384" s="2"/>
      <c r="BJ384" s="3"/>
      <c r="BK384" s="3"/>
      <c r="BL384" s="3"/>
      <c r="BM384" s="3"/>
    </row>
    <row r="385" spans="1:65" ht="15">
      <c r="A385"/>
      <c r="J385"/>
      <c r="AA385"/>
      <c r="AB385"/>
      <c r="AC385"/>
      <c r="AD385"/>
      <c r="AE385"/>
      <c r="AF385"/>
      <c r="AG385"/>
      <c r="AH385"/>
      <c r="BI385" s="2"/>
      <c r="BJ385" s="3"/>
      <c r="BK385" s="3"/>
      <c r="BL385" s="3"/>
      <c r="BM385" s="3"/>
    </row>
    <row r="386" spans="1:65" ht="15">
      <c r="A386"/>
      <c r="J386"/>
      <c r="AA386"/>
      <c r="AB386"/>
      <c r="AC386"/>
      <c r="AD386"/>
      <c r="AE386"/>
      <c r="AF386"/>
      <c r="AG386"/>
      <c r="AH386"/>
      <c r="BI386" s="2"/>
      <c r="BJ386" s="3"/>
      <c r="BK386" s="3"/>
      <c r="BL386" s="3"/>
      <c r="BM386" s="3"/>
    </row>
    <row r="387" spans="1:65" ht="15">
      <c r="A387"/>
      <c r="J387"/>
      <c r="AA387"/>
      <c r="AB387"/>
      <c r="AC387"/>
      <c r="AD387"/>
      <c r="AE387"/>
      <c r="AF387"/>
      <c r="AG387"/>
      <c r="AH387"/>
      <c r="BI387" s="2"/>
      <c r="BJ387" s="3"/>
      <c r="BK387" s="3"/>
      <c r="BL387" s="3"/>
      <c r="BM387" s="3"/>
    </row>
    <row r="388" spans="1:65" ht="15">
      <c r="A388"/>
      <c r="J388"/>
      <c r="AA388"/>
      <c r="AB388"/>
      <c r="AC388"/>
      <c r="AD388"/>
      <c r="AE388"/>
      <c r="AF388"/>
      <c r="AG388"/>
      <c r="AH388"/>
      <c r="BI388" s="2"/>
      <c r="BJ388" s="3"/>
      <c r="BK388" s="3"/>
      <c r="BL388" s="3"/>
      <c r="BM388" s="3"/>
    </row>
    <row r="389" spans="1:65" ht="15">
      <c r="A389"/>
      <c r="J389"/>
      <c r="AA389"/>
      <c r="AB389"/>
      <c r="AC389"/>
      <c r="AD389"/>
      <c r="AE389"/>
      <c r="AF389"/>
      <c r="AG389"/>
      <c r="AH389"/>
      <c r="BI389" s="2"/>
      <c r="BJ389" s="3"/>
      <c r="BK389" s="3"/>
      <c r="BL389" s="3"/>
      <c r="BM389" s="3"/>
    </row>
    <row r="390" spans="1:65" ht="15">
      <c r="A390"/>
      <c r="J390"/>
      <c r="AA390"/>
      <c r="AB390"/>
      <c r="AC390"/>
      <c r="AD390"/>
      <c r="AE390"/>
      <c r="AF390"/>
      <c r="AG390"/>
      <c r="AH390"/>
      <c r="BI390" s="2"/>
      <c r="BJ390" s="3"/>
      <c r="BK390" s="3"/>
      <c r="BL390" s="3"/>
      <c r="BM390" s="3"/>
    </row>
    <row r="391" spans="1:65" ht="15">
      <c r="A391"/>
      <c r="J391"/>
      <c r="AA391"/>
      <c r="AB391"/>
      <c r="AC391"/>
      <c r="AD391"/>
      <c r="AE391"/>
      <c r="AF391"/>
      <c r="AG391"/>
      <c r="AH391"/>
      <c r="BI391" s="2"/>
      <c r="BJ391" s="3"/>
      <c r="BK391" s="3"/>
      <c r="BL391" s="3"/>
      <c r="BM391" s="3"/>
    </row>
    <row r="392" spans="1:65" ht="15">
      <c r="A392"/>
      <c r="J392"/>
      <c r="AA392"/>
      <c r="AB392"/>
      <c r="AC392"/>
      <c r="AD392"/>
      <c r="AE392"/>
      <c r="AF392"/>
      <c r="AG392"/>
      <c r="AH392"/>
      <c r="BI392" s="2"/>
      <c r="BJ392" s="3"/>
      <c r="BK392" s="3"/>
      <c r="BL392" s="3"/>
      <c r="BM392" s="3"/>
    </row>
    <row r="393" spans="1:65" ht="15">
      <c r="A393"/>
      <c r="J393"/>
      <c r="AA393"/>
      <c r="AB393"/>
      <c r="AC393"/>
      <c r="AD393"/>
      <c r="AE393"/>
      <c r="AF393"/>
      <c r="AG393"/>
      <c r="AH393"/>
      <c r="BI393" s="2"/>
      <c r="BJ393" s="3"/>
      <c r="BK393" s="3"/>
      <c r="BL393" s="3"/>
      <c r="BM393" s="3"/>
    </row>
    <row r="394" spans="1:65" ht="15">
      <c r="A394"/>
      <c r="J394"/>
      <c r="AA394"/>
      <c r="AB394"/>
      <c r="AC394"/>
      <c r="AD394"/>
      <c r="AE394"/>
      <c r="AF394"/>
      <c r="AG394"/>
      <c r="AH394"/>
      <c r="BI394" s="2"/>
      <c r="BJ394" s="3"/>
      <c r="BK394" s="3"/>
      <c r="BL394" s="3"/>
      <c r="BM394" s="3"/>
    </row>
    <row r="395" spans="1:65" ht="15">
      <c r="A395"/>
      <c r="J395"/>
      <c r="AA395"/>
      <c r="AB395"/>
      <c r="AC395"/>
      <c r="AD395"/>
      <c r="AE395"/>
      <c r="AF395"/>
      <c r="AG395"/>
      <c r="AH395"/>
      <c r="BI395" s="2"/>
      <c r="BJ395" s="3"/>
      <c r="BK395" s="3"/>
      <c r="BL395" s="3"/>
      <c r="BM395" s="3"/>
    </row>
    <row r="396" spans="1:65" ht="15">
      <c r="A396"/>
      <c r="J396"/>
      <c r="AA396"/>
      <c r="AB396"/>
      <c r="AC396"/>
      <c r="AD396"/>
      <c r="AE396"/>
      <c r="AF396"/>
      <c r="AG396"/>
      <c r="AH396"/>
      <c r="BI396" s="2"/>
      <c r="BJ396" s="3"/>
      <c r="BK396" s="3"/>
      <c r="BL396" s="3"/>
      <c r="BM396" s="3"/>
    </row>
    <row r="397" spans="1:65" ht="15">
      <c r="A397"/>
      <c r="J397"/>
      <c r="AA397"/>
      <c r="AB397"/>
      <c r="AC397"/>
      <c r="AD397"/>
      <c r="AE397"/>
      <c r="AF397"/>
      <c r="AG397"/>
      <c r="AH397"/>
      <c r="BI397" s="2"/>
      <c r="BJ397" s="3"/>
      <c r="BK397" s="3"/>
      <c r="BL397" s="3"/>
      <c r="BM397" s="3"/>
    </row>
    <row r="398" spans="1:65" ht="15">
      <c r="A398"/>
      <c r="J398"/>
      <c r="AA398"/>
      <c r="AB398"/>
      <c r="AC398"/>
      <c r="AD398"/>
      <c r="AE398"/>
      <c r="AF398"/>
      <c r="AG398"/>
      <c r="AH398"/>
      <c r="BI398" s="2"/>
      <c r="BJ398" s="3"/>
      <c r="BK398" s="3"/>
      <c r="BL398" s="3"/>
      <c r="BM398" s="3"/>
    </row>
    <row r="399" spans="1:65" ht="15">
      <c r="A399"/>
      <c r="J399"/>
      <c r="AA399"/>
      <c r="AB399"/>
      <c r="AC399"/>
      <c r="AD399"/>
      <c r="AE399"/>
      <c r="AF399"/>
      <c r="AG399"/>
      <c r="AH399"/>
      <c r="BI399" s="2"/>
      <c r="BJ399" s="3"/>
      <c r="BK399" s="3"/>
      <c r="BL399" s="3"/>
      <c r="BM399" s="3"/>
    </row>
    <row r="400" spans="1:65" ht="15">
      <c r="A400"/>
      <c r="J400"/>
      <c r="AA400"/>
      <c r="AB400"/>
      <c r="AC400"/>
      <c r="AD400"/>
      <c r="AE400"/>
      <c r="AF400"/>
      <c r="AG400"/>
      <c r="AH400"/>
      <c r="BI400" s="2"/>
      <c r="BJ400" s="3"/>
      <c r="BK400" s="3"/>
      <c r="BL400" s="3"/>
      <c r="BM400" s="3"/>
    </row>
    <row r="401" spans="1:65" ht="15">
      <c r="A401"/>
      <c r="J401"/>
      <c r="AA401"/>
      <c r="AB401"/>
      <c r="AC401"/>
      <c r="AD401"/>
      <c r="AE401"/>
      <c r="AF401"/>
      <c r="AG401"/>
      <c r="AH401"/>
      <c r="BI401" s="2"/>
      <c r="BJ401" s="3"/>
      <c r="BK401" s="3"/>
      <c r="BL401" s="3"/>
      <c r="BM401" s="3"/>
    </row>
    <row r="402" spans="1:65" ht="15">
      <c r="A402"/>
      <c r="J402"/>
      <c r="AA402"/>
      <c r="AB402"/>
      <c r="AC402"/>
      <c r="AD402"/>
      <c r="AE402"/>
      <c r="AF402"/>
      <c r="AG402"/>
      <c r="AH402"/>
      <c r="BI402" s="2"/>
      <c r="BJ402" s="3"/>
      <c r="BK402" s="3"/>
      <c r="BL402" s="3"/>
      <c r="BM402" s="3"/>
    </row>
    <row r="403" spans="1:65" ht="15">
      <c r="A403"/>
      <c r="J403"/>
      <c r="AA403"/>
      <c r="AB403"/>
      <c r="AC403"/>
      <c r="AD403"/>
      <c r="AE403"/>
      <c r="AF403"/>
      <c r="AG403"/>
      <c r="AH403"/>
      <c r="BI403" s="2"/>
      <c r="BJ403" s="3"/>
      <c r="BK403" s="3"/>
      <c r="BL403" s="3"/>
      <c r="BM403" s="3"/>
    </row>
    <row r="404" spans="1:65" ht="15">
      <c r="A404"/>
      <c r="J404"/>
      <c r="AA404"/>
      <c r="AB404"/>
      <c r="AC404"/>
      <c r="AD404"/>
      <c r="AE404"/>
      <c r="AF404"/>
      <c r="AG404"/>
      <c r="AH404"/>
      <c r="BI404" s="2"/>
      <c r="BJ404" s="3"/>
      <c r="BK404" s="3"/>
      <c r="BL404" s="3"/>
      <c r="BM404" s="3"/>
    </row>
    <row r="405" spans="1:65" ht="15">
      <c r="A405"/>
      <c r="J405"/>
      <c r="AA405"/>
      <c r="AB405"/>
      <c r="AC405"/>
      <c r="AD405"/>
      <c r="AE405"/>
      <c r="AF405"/>
      <c r="AG405"/>
      <c r="AH405"/>
      <c r="BI405" s="2"/>
      <c r="BJ405" s="3"/>
      <c r="BK405" s="3"/>
      <c r="BL405" s="3"/>
      <c r="BM405" s="3"/>
    </row>
    <row r="406" spans="1:65" ht="15">
      <c r="A406"/>
      <c r="J406"/>
      <c r="AA406"/>
      <c r="AB406"/>
      <c r="AC406"/>
      <c r="AD406"/>
      <c r="AE406"/>
      <c r="AF406"/>
      <c r="AG406"/>
      <c r="AH406"/>
      <c r="BI406" s="2"/>
      <c r="BJ406" s="3"/>
      <c r="BK406" s="3"/>
      <c r="BL406" s="3"/>
      <c r="BM406" s="3"/>
    </row>
    <row r="407" spans="1:65" ht="15">
      <c r="A407"/>
      <c r="J407"/>
      <c r="AA407"/>
      <c r="AB407"/>
      <c r="AC407"/>
      <c r="AD407"/>
      <c r="AE407"/>
      <c r="AF407"/>
      <c r="AG407"/>
      <c r="AH407"/>
      <c r="BI407" s="2"/>
      <c r="BJ407" s="3"/>
      <c r="BK407" s="3"/>
      <c r="BL407" s="3"/>
      <c r="BM407" s="3"/>
    </row>
    <row r="408" spans="1:65" ht="15">
      <c r="A408"/>
      <c r="J408"/>
      <c r="AA408"/>
      <c r="AB408"/>
      <c r="AC408"/>
      <c r="AD408"/>
      <c r="AE408"/>
      <c r="AF408"/>
      <c r="AG408"/>
      <c r="AH408"/>
      <c r="BI408" s="2"/>
      <c r="BJ408" s="3"/>
      <c r="BK408" s="3"/>
      <c r="BL408" s="3"/>
      <c r="BM408" s="3"/>
    </row>
    <row r="409" spans="1:65" ht="15">
      <c r="A409"/>
      <c r="J409"/>
      <c r="AA409"/>
      <c r="AB409"/>
      <c r="AC409"/>
      <c r="AD409"/>
      <c r="AE409"/>
      <c r="AF409"/>
      <c r="AG409"/>
      <c r="AH409"/>
      <c r="BI409" s="2"/>
      <c r="BJ409" s="3"/>
      <c r="BK409" s="3"/>
      <c r="BL409" s="3"/>
      <c r="BM409" s="3"/>
    </row>
    <row r="410" spans="1:65" ht="15">
      <c r="A410"/>
      <c r="J410"/>
      <c r="AA410"/>
      <c r="AB410"/>
      <c r="AC410"/>
      <c r="AD410"/>
      <c r="AE410"/>
      <c r="AF410"/>
      <c r="AG410"/>
      <c r="AH410"/>
      <c r="BI410" s="2"/>
      <c r="BJ410" s="3"/>
      <c r="BK410" s="3"/>
      <c r="BL410" s="3"/>
      <c r="BM410" s="3"/>
    </row>
    <row r="411" spans="1:65" ht="15">
      <c r="A411"/>
      <c r="J411"/>
      <c r="AA411"/>
      <c r="AB411"/>
      <c r="AC411"/>
      <c r="AD411"/>
      <c r="AE411"/>
      <c r="AF411"/>
      <c r="AG411"/>
      <c r="AH411"/>
      <c r="BI411" s="2"/>
      <c r="BJ411" s="3"/>
      <c r="BK411" s="3"/>
      <c r="BL411" s="3"/>
      <c r="BM411" s="3"/>
    </row>
    <row r="412" spans="1:65" ht="15">
      <c r="A412"/>
      <c r="J412"/>
      <c r="AA412"/>
      <c r="AB412"/>
      <c r="AC412"/>
      <c r="AD412"/>
      <c r="AE412"/>
      <c r="AF412"/>
      <c r="AG412"/>
      <c r="AH412"/>
      <c r="BI412" s="2"/>
      <c r="BJ412" s="3"/>
      <c r="BK412" s="3"/>
      <c r="BL412" s="3"/>
      <c r="BM412" s="3"/>
    </row>
    <row r="413" spans="1:65" ht="15">
      <c r="A413"/>
      <c r="J413"/>
      <c r="AA413"/>
      <c r="AB413"/>
      <c r="AC413"/>
      <c r="AD413"/>
      <c r="AE413"/>
      <c r="AF413"/>
      <c r="AG413"/>
      <c r="AH413"/>
      <c r="BI413" s="2"/>
      <c r="BJ413" s="3"/>
      <c r="BK413" s="3"/>
      <c r="BL413" s="3"/>
      <c r="BM413" s="3"/>
    </row>
    <row r="414" spans="1:65" ht="15">
      <c r="A414"/>
      <c r="J414"/>
      <c r="AA414"/>
      <c r="AB414"/>
      <c r="AC414"/>
      <c r="AD414"/>
      <c r="AE414"/>
      <c r="AF414"/>
      <c r="AG414"/>
      <c r="AH414"/>
      <c r="BI414" s="2"/>
      <c r="BJ414" s="3"/>
      <c r="BK414" s="3"/>
      <c r="BL414" s="3"/>
      <c r="BM414" s="3"/>
    </row>
    <row r="415" spans="1:65" ht="15">
      <c r="A415"/>
      <c r="J415"/>
      <c r="AA415"/>
      <c r="AB415"/>
      <c r="AC415"/>
      <c r="AD415"/>
      <c r="AE415"/>
      <c r="AF415"/>
      <c r="AG415"/>
      <c r="AH415"/>
      <c r="BI415" s="2"/>
      <c r="BJ415" s="3"/>
      <c r="BK415" s="3"/>
      <c r="BL415" s="3"/>
      <c r="BM415" s="3"/>
    </row>
    <row r="416" spans="1:65" ht="15">
      <c r="A416"/>
      <c r="J416"/>
      <c r="AA416"/>
      <c r="AB416"/>
      <c r="AC416"/>
      <c r="AD416"/>
      <c r="AE416"/>
      <c r="AF416"/>
      <c r="AG416"/>
      <c r="AH416"/>
      <c r="BI416" s="2"/>
      <c r="BJ416" s="3"/>
      <c r="BK416" s="3"/>
      <c r="BL416" s="3"/>
      <c r="BM416" s="3"/>
    </row>
    <row r="417" spans="1:65" ht="15">
      <c r="A417"/>
      <c r="J417"/>
      <c r="AA417"/>
      <c r="AB417"/>
      <c r="AC417"/>
      <c r="AD417"/>
      <c r="AE417"/>
      <c r="AF417"/>
      <c r="AG417"/>
      <c r="AH417"/>
      <c r="BI417" s="2"/>
      <c r="BJ417" s="3"/>
      <c r="BK417" s="3"/>
      <c r="BL417" s="3"/>
      <c r="BM417" s="3"/>
    </row>
    <row r="418" spans="1:65" ht="15">
      <c r="A418"/>
      <c r="J418"/>
      <c r="AA418"/>
      <c r="AB418"/>
      <c r="AC418"/>
      <c r="AD418"/>
      <c r="AE418"/>
      <c r="AF418"/>
      <c r="AG418"/>
      <c r="AH418"/>
      <c r="BI418" s="2"/>
      <c r="BJ418" s="3"/>
      <c r="BK418" s="3"/>
      <c r="BL418" s="3"/>
      <c r="BM418" s="3"/>
    </row>
    <row r="419" spans="1:65" ht="15">
      <c r="A419"/>
      <c r="J419"/>
      <c r="AA419"/>
      <c r="AB419"/>
      <c r="AC419"/>
      <c r="AD419"/>
      <c r="AE419"/>
      <c r="AF419"/>
      <c r="AG419"/>
      <c r="AH419"/>
      <c r="BI419" s="2"/>
      <c r="BJ419" s="3"/>
      <c r="BK419" s="3"/>
      <c r="BL419" s="3"/>
      <c r="BM419" s="3"/>
    </row>
    <row r="420" spans="1:65" ht="15">
      <c r="A420"/>
      <c r="J420"/>
      <c r="AA420"/>
      <c r="AB420"/>
      <c r="AC420"/>
      <c r="AD420"/>
      <c r="AE420"/>
      <c r="AF420"/>
      <c r="AG420"/>
      <c r="AH420"/>
      <c r="BI420" s="2"/>
      <c r="BJ420" s="3"/>
      <c r="BK420" s="3"/>
      <c r="BL420" s="3"/>
      <c r="BM420" s="3"/>
    </row>
    <row r="421" spans="1:65" ht="15">
      <c r="A421"/>
      <c r="J421"/>
      <c r="AA421"/>
      <c r="AB421"/>
      <c r="AC421"/>
      <c r="AD421"/>
      <c r="AE421"/>
      <c r="AF421"/>
      <c r="AG421"/>
      <c r="AH421"/>
      <c r="BI421" s="2"/>
      <c r="BJ421" s="3"/>
      <c r="BK421" s="3"/>
      <c r="BL421" s="3"/>
      <c r="BM421" s="3"/>
    </row>
    <row r="422" spans="1:65" ht="15">
      <c r="A422"/>
      <c r="J422"/>
      <c r="AA422"/>
      <c r="AB422"/>
      <c r="AC422"/>
      <c r="AD422"/>
      <c r="AE422"/>
      <c r="AF422"/>
      <c r="AG422"/>
      <c r="AH422"/>
      <c r="BI422" s="2"/>
      <c r="BJ422" s="3"/>
      <c r="BK422" s="3"/>
      <c r="BL422" s="3"/>
      <c r="BM422" s="3"/>
    </row>
    <row r="423" spans="1:65" ht="15">
      <c r="A423"/>
      <c r="J423"/>
      <c r="AA423"/>
      <c r="AB423"/>
      <c r="AC423"/>
      <c r="AD423"/>
      <c r="AE423"/>
      <c r="AF423"/>
      <c r="AG423"/>
      <c r="AH423"/>
      <c r="BI423" s="2"/>
      <c r="BJ423" s="3"/>
      <c r="BK423" s="3"/>
      <c r="BL423" s="3"/>
      <c r="BM423" s="3"/>
    </row>
    <row r="424" spans="1:65" ht="15">
      <c r="A424"/>
      <c r="J424"/>
      <c r="AA424"/>
      <c r="AB424"/>
      <c r="AC424"/>
      <c r="AD424"/>
      <c r="AE424"/>
      <c r="AF424"/>
      <c r="AG424"/>
      <c r="AH424"/>
      <c r="BI424" s="2"/>
      <c r="BJ424" s="3"/>
      <c r="BK424" s="3"/>
      <c r="BL424" s="3"/>
      <c r="BM424" s="3"/>
    </row>
    <row r="425" spans="1:65" ht="15">
      <c r="A425"/>
      <c r="J425"/>
      <c r="AA425"/>
      <c r="AB425"/>
      <c r="AC425"/>
      <c r="AD425"/>
      <c r="AE425"/>
      <c r="AF425"/>
      <c r="AG425"/>
      <c r="AH425"/>
      <c r="BI425" s="2"/>
      <c r="BJ425" s="3"/>
      <c r="BK425" s="3"/>
      <c r="BL425" s="3"/>
      <c r="BM425" s="3"/>
    </row>
    <row r="426" spans="1:65" ht="15">
      <c r="A426"/>
      <c r="J426"/>
      <c r="AA426"/>
      <c r="AB426"/>
      <c r="AC426"/>
      <c r="AD426"/>
      <c r="AE426"/>
      <c r="AF426"/>
      <c r="AG426"/>
      <c r="AH426"/>
      <c r="BI426" s="2"/>
      <c r="BJ426" s="3"/>
      <c r="BK426" s="3"/>
      <c r="BL426" s="3"/>
      <c r="BM426" s="3"/>
    </row>
    <row r="427" spans="1:65" ht="15">
      <c r="A427"/>
      <c r="J427"/>
      <c r="AA427"/>
      <c r="AB427"/>
      <c r="AC427"/>
      <c r="AD427"/>
      <c r="AE427"/>
      <c r="AF427"/>
      <c r="AG427"/>
      <c r="AH427"/>
      <c r="BI427" s="2"/>
      <c r="BJ427" s="3"/>
      <c r="BK427" s="3"/>
      <c r="BL427" s="3"/>
      <c r="BM427" s="3"/>
    </row>
    <row r="428" spans="1:65" ht="15">
      <c r="A428"/>
      <c r="J428"/>
      <c r="AA428"/>
      <c r="AB428"/>
      <c r="AC428"/>
      <c r="AD428"/>
      <c r="AE428"/>
      <c r="AF428"/>
      <c r="AG428"/>
      <c r="AH428"/>
      <c r="BI428" s="2"/>
      <c r="BJ428" s="3"/>
      <c r="BK428" s="3"/>
      <c r="BL428" s="3"/>
      <c r="BM428" s="3"/>
    </row>
    <row r="429" spans="1:65" ht="15">
      <c r="A429"/>
      <c r="J429"/>
      <c r="AA429"/>
      <c r="AB429"/>
      <c r="AC429"/>
      <c r="AD429"/>
      <c r="AE429"/>
      <c r="AF429"/>
      <c r="AG429"/>
      <c r="AH429"/>
      <c r="BI429" s="2"/>
      <c r="BJ429" s="3"/>
      <c r="BK429" s="3"/>
      <c r="BL429" s="3"/>
      <c r="BM429" s="3"/>
    </row>
    <row r="430" spans="1:65" ht="15">
      <c r="A430"/>
      <c r="J430"/>
      <c r="AA430"/>
      <c r="AB430"/>
      <c r="AC430"/>
      <c r="AD430"/>
      <c r="AE430"/>
      <c r="AF430"/>
      <c r="AG430"/>
      <c r="AH430"/>
      <c r="BI430" s="2"/>
      <c r="BJ430" s="3"/>
      <c r="BK430" s="3"/>
      <c r="BL430" s="3"/>
      <c r="BM430" s="3"/>
    </row>
    <row r="431" spans="1:65" ht="15">
      <c r="A431"/>
      <c r="J431"/>
      <c r="AA431"/>
      <c r="AB431"/>
      <c r="AC431"/>
      <c r="AD431"/>
      <c r="AE431"/>
      <c r="AF431"/>
      <c r="AG431"/>
      <c r="AH431"/>
      <c r="BI431" s="2"/>
      <c r="BJ431" s="3"/>
      <c r="BK431" s="3"/>
      <c r="BL431" s="3"/>
      <c r="BM431" s="3"/>
    </row>
    <row r="432" spans="1:65" ht="15">
      <c r="A432"/>
      <c r="J432"/>
      <c r="AA432"/>
      <c r="AB432"/>
      <c r="AC432"/>
      <c r="AD432"/>
      <c r="AE432"/>
      <c r="AF432"/>
      <c r="AG432"/>
      <c r="AH432"/>
      <c r="BI432" s="2"/>
      <c r="BJ432" s="3"/>
      <c r="BK432" s="3"/>
      <c r="BL432" s="3"/>
      <c r="BM432" s="3"/>
    </row>
    <row r="433" spans="1:65" ht="15">
      <c r="A433"/>
      <c r="J433"/>
      <c r="AA433"/>
      <c r="AB433"/>
      <c r="AC433"/>
      <c r="AD433"/>
      <c r="AE433"/>
      <c r="AF433"/>
      <c r="AG433"/>
      <c r="AH433"/>
      <c r="BI433" s="2"/>
      <c r="BJ433" s="3"/>
      <c r="BK433" s="3"/>
      <c r="BL433" s="3"/>
      <c r="BM433" s="3"/>
    </row>
    <row r="434" spans="1:65" ht="15">
      <c r="A434"/>
      <c r="J434"/>
      <c r="AA434"/>
      <c r="AB434"/>
      <c r="AC434"/>
      <c r="AD434"/>
      <c r="AE434"/>
      <c r="AF434"/>
      <c r="AG434"/>
      <c r="AH434"/>
      <c r="BI434" s="2"/>
      <c r="BJ434" s="3"/>
      <c r="BK434" s="3"/>
      <c r="BL434" s="3"/>
      <c r="BM434" s="3"/>
    </row>
    <row r="435" spans="1:65" ht="15">
      <c r="A435"/>
      <c r="J435"/>
      <c r="AA435"/>
      <c r="AB435"/>
      <c r="AC435"/>
      <c r="AD435"/>
      <c r="AE435"/>
      <c r="AF435"/>
      <c r="AG435"/>
      <c r="AH435"/>
      <c r="BI435" s="2"/>
      <c r="BJ435" s="3"/>
      <c r="BK435" s="3"/>
      <c r="BL435" s="3"/>
      <c r="BM435" s="3"/>
    </row>
    <row r="436" spans="1:65" ht="15">
      <c r="A436"/>
      <c r="J436"/>
      <c r="AA436"/>
      <c r="AB436"/>
      <c r="AC436"/>
      <c r="AD436"/>
      <c r="AE436"/>
      <c r="AF436"/>
      <c r="AG436"/>
      <c r="AH436"/>
      <c r="BI436" s="2"/>
      <c r="BJ436" s="3"/>
      <c r="BK436" s="3"/>
      <c r="BL436" s="3"/>
      <c r="BM436" s="3"/>
    </row>
    <row r="437" spans="1:65" ht="15">
      <c r="A437"/>
      <c r="J437"/>
      <c r="AA437"/>
      <c r="AB437"/>
      <c r="AC437"/>
      <c r="AD437"/>
      <c r="AE437"/>
      <c r="AF437"/>
      <c r="AG437"/>
      <c r="AH437"/>
      <c r="BI437" s="2"/>
      <c r="BJ437" s="3"/>
      <c r="BK437" s="3"/>
      <c r="BL437" s="3"/>
      <c r="BM437" s="3"/>
    </row>
    <row r="438" spans="1:65" ht="15">
      <c r="A438"/>
      <c r="J438"/>
      <c r="AA438"/>
      <c r="AB438"/>
      <c r="AC438"/>
      <c r="AD438"/>
      <c r="AE438"/>
      <c r="AF438"/>
      <c r="AG438"/>
      <c r="AH438"/>
      <c r="BI438" s="2"/>
      <c r="BJ438" s="3"/>
      <c r="BK438" s="3"/>
      <c r="BL438" s="3"/>
      <c r="BM438" s="3"/>
    </row>
    <row r="439" spans="1:65" ht="15">
      <c r="A439"/>
      <c r="J439"/>
      <c r="AA439"/>
      <c r="AB439"/>
      <c r="AC439"/>
      <c r="AD439"/>
      <c r="AE439"/>
      <c r="AF439"/>
      <c r="AG439"/>
      <c r="AH439"/>
      <c r="BI439" s="2"/>
      <c r="BJ439" s="3"/>
      <c r="BK439" s="3"/>
      <c r="BL439" s="3"/>
      <c r="BM439" s="3"/>
    </row>
    <row r="440" spans="1:65" ht="15">
      <c r="A440"/>
      <c r="J440"/>
      <c r="AA440"/>
      <c r="AB440"/>
      <c r="AC440"/>
      <c r="AD440"/>
      <c r="AE440"/>
      <c r="AF440"/>
      <c r="AG440"/>
      <c r="AH440"/>
      <c r="BI440" s="2"/>
      <c r="BJ440" s="3"/>
      <c r="BK440" s="3"/>
      <c r="BL440" s="3"/>
      <c r="BM440" s="3"/>
    </row>
    <row r="441" spans="1:65" ht="15">
      <c r="A441"/>
      <c r="J441"/>
      <c r="AA441"/>
      <c r="AB441"/>
      <c r="AC441"/>
      <c r="AD441"/>
      <c r="AE441"/>
      <c r="AF441"/>
      <c r="AG441"/>
      <c r="AH441"/>
      <c r="BI441" s="2"/>
      <c r="BJ441" s="3"/>
      <c r="BK441" s="3"/>
      <c r="BL441" s="3"/>
      <c r="BM441" s="3"/>
    </row>
    <row r="442" spans="1:65" ht="15">
      <c r="A442"/>
      <c r="J442"/>
      <c r="AA442"/>
      <c r="AB442"/>
      <c r="AC442"/>
      <c r="AD442"/>
      <c r="AE442"/>
      <c r="AF442"/>
      <c r="AG442"/>
      <c r="AH442"/>
      <c r="BI442" s="2"/>
      <c r="BJ442" s="3"/>
      <c r="BK442" s="3"/>
      <c r="BL442" s="3"/>
      <c r="BM442" s="3"/>
    </row>
    <row r="443" spans="1:65" ht="15">
      <c r="A443"/>
      <c r="J443"/>
      <c r="AA443"/>
      <c r="AB443"/>
      <c r="AC443"/>
      <c r="AD443"/>
      <c r="AE443"/>
      <c r="AF443"/>
      <c r="AG443"/>
      <c r="AH443"/>
      <c r="BI443" s="2"/>
      <c r="BJ443" s="3"/>
      <c r="BK443" s="3"/>
      <c r="BL443" s="3"/>
      <c r="BM443" s="3"/>
    </row>
    <row r="444" spans="1:65" ht="15">
      <c r="A444"/>
      <c r="J444"/>
      <c r="AA444"/>
      <c r="AB444"/>
      <c r="AC444"/>
      <c r="AD444"/>
      <c r="AE444"/>
      <c r="AF444"/>
      <c r="AG444"/>
      <c r="AH444"/>
      <c r="BI444" s="2"/>
      <c r="BJ444" s="3"/>
      <c r="BK444" s="3"/>
      <c r="BL444" s="3"/>
      <c r="BM444" s="3"/>
    </row>
    <row r="445" spans="1:65" ht="15">
      <c r="A445"/>
      <c r="J445"/>
      <c r="AA445"/>
      <c r="AB445"/>
      <c r="AC445"/>
      <c r="AD445"/>
      <c r="AE445"/>
      <c r="AF445"/>
      <c r="AG445"/>
      <c r="AH445"/>
      <c r="BI445" s="2"/>
      <c r="BJ445" s="3"/>
      <c r="BK445" s="3"/>
      <c r="BL445" s="3"/>
      <c r="BM445" s="3"/>
    </row>
    <row r="446" spans="1:65" ht="15">
      <c r="A446"/>
      <c r="J446"/>
      <c r="AA446"/>
      <c r="AB446"/>
      <c r="AC446"/>
      <c r="AD446"/>
      <c r="AE446"/>
      <c r="AF446"/>
      <c r="AG446"/>
      <c r="AH446"/>
      <c r="BI446" s="2"/>
      <c r="BJ446" s="3"/>
      <c r="BK446" s="3"/>
      <c r="BL446" s="3"/>
      <c r="BM446" s="3"/>
    </row>
    <row r="447" spans="1:65" ht="15">
      <c r="A447"/>
      <c r="J447"/>
      <c r="AA447"/>
      <c r="AB447"/>
      <c r="AC447"/>
      <c r="AD447"/>
      <c r="AE447"/>
      <c r="AF447"/>
      <c r="AG447"/>
      <c r="AH447"/>
      <c r="BI447" s="2"/>
      <c r="BJ447" s="3"/>
      <c r="BK447" s="3"/>
      <c r="BL447" s="3"/>
      <c r="BM447" s="3"/>
    </row>
    <row r="448" spans="1:65" ht="15">
      <c r="A448"/>
      <c r="J448"/>
      <c r="AA448"/>
      <c r="AB448"/>
      <c r="AC448"/>
      <c r="AD448"/>
      <c r="AE448"/>
      <c r="AF448"/>
      <c r="AG448"/>
      <c r="AH448"/>
      <c r="BI448" s="2"/>
      <c r="BJ448" s="3"/>
      <c r="BK448" s="3"/>
      <c r="BL448" s="3"/>
      <c r="BM448" s="3"/>
    </row>
    <row r="449" spans="1:65" ht="15">
      <c r="A449"/>
      <c r="J449"/>
      <c r="AA449"/>
      <c r="AB449"/>
      <c r="AC449"/>
      <c r="AD449"/>
      <c r="AE449"/>
      <c r="AF449"/>
      <c r="AG449"/>
      <c r="AH449"/>
      <c r="BI449" s="2"/>
      <c r="BJ449" s="3"/>
      <c r="BK449" s="3"/>
      <c r="BL449" s="3"/>
      <c r="BM449" s="3"/>
    </row>
    <row r="450" spans="1:65" ht="15">
      <c r="A450"/>
      <c r="J450"/>
      <c r="AA450"/>
      <c r="AB450"/>
      <c r="AC450"/>
      <c r="AD450"/>
      <c r="AE450"/>
      <c r="AF450"/>
      <c r="AG450"/>
      <c r="AH450"/>
      <c r="BI450" s="2"/>
      <c r="BJ450" s="3"/>
      <c r="BK450" s="3"/>
      <c r="BL450" s="3"/>
      <c r="BM450" s="3"/>
    </row>
    <row r="451" spans="1:65" ht="15">
      <c r="A451"/>
      <c r="J451"/>
      <c r="AA451"/>
      <c r="AB451"/>
      <c r="AC451"/>
      <c r="AD451"/>
      <c r="AE451"/>
      <c r="AF451"/>
      <c r="AG451"/>
      <c r="AH451"/>
      <c r="BI451" s="2"/>
      <c r="BJ451" s="3"/>
      <c r="BK451" s="3"/>
      <c r="BL451" s="3"/>
      <c r="BM451" s="3"/>
    </row>
    <row r="452" spans="1:65" ht="15">
      <c r="A452"/>
      <c r="J452"/>
      <c r="AA452"/>
      <c r="AB452"/>
      <c r="AC452"/>
      <c r="AD452"/>
      <c r="AE452"/>
      <c r="AF452"/>
      <c r="AG452"/>
      <c r="AH452"/>
      <c r="BI452" s="2"/>
      <c r="BJ452" s="3"/>
      <c r="BK452" s="3"/>
      <c r="BL452" s="3"/>
      <c r="BM452" s="3"/>
    </row>
    <row r="453" spans="1:65" ht="15">
      <c r="A453"/>
      <c r="J453"/>
      <c r="AA453"/>
      <c r="AB453"/>
      <c r="AC453"/>
      <c r="AD453"/>
      <c r="AE453"/>
      <c r="AF453"/>
      <c r="AG453"/>
      <c r="AH453"/>
      <c r="BI453" s="2"/>
      <c r="BJ453" s="3"/>
      <c r="BK453" s="3"/>
      <c r="BL453" s="3"/>
      <c r="BM453" s="3"/>
    </row>
    <row r="454" spans="1:65" ht="15">
      <c r="A454"/>
      <c r="J454"/>
      <c r="AA454"/>
      <c r="AB454"/>
      <c r="AC454"/>
      <c r="AD454"/>
      <c r="AE454"/>
      <c r="AF454"/>
      <c r="AG454"/>
      <c r="AH454"/>
      <c r="BI454" s="2"/>
      <c r="BJ454" s="3"/>
      <c r="BK454" s="3"/>
      <c r="BL454" s="3"/>
      <c r="BM454" s="3"/>
    </row>
    <row r="455" spans="1:65" ht="15">
      <c r="A455"/>
      <c r="J455"/>
      <c r="AA455"/>
      <c r="AB455"/>
      <c r="AC455"/>
      <c r="AD455"/>
      <c r="AE455"/>
      <c r="AF455"/>
      <c r="AG455"/>
      <c r="AH455"/>
      <c r="BI455" s="2"/>
      <c r="BJ455" s="3"/>
      <c r="BK455" s="3"/>
      <c r="BL455" s="3"/>
      <c r="BM455" s="3"/>
    </row>
    <row r="456" spans="1:65" ht="15">
      <c r="A456"/>
      <c r="J456"/>
      <c r="AA456"/>
      <c r="AB456"/>
      <c r="AC456"/>
      <c r="AD456"/>
      <c r="AE456"/>
      <c r="AF456"/>
      <c r="AG456"/>
      <c r="AH456"/>
      <c r="BI456" s="2"/>
      <c r="BJ456" s="3"/>
      <c r="BK456" s="3"/>
      <c r="BL456" s="3"/>
      <c r="BM456" s="3"/>
    </row>
    <row r="457" spans="1:65" ht="15">
      <c r="A457"/>
      <c r="J457"/>
      <c r="AA457"/>
      <c r="AB457"/>
      <c r="AC457"/>
      <c r="AD457"/>
      <c r="AE457"/>
      <c r="AF457"/>
      <c r="AG457"/>
      <c r="AH457"/>
      <c r="BI457" s="2"/>
      <c r="BJ457" s="3"/>
      <c r="BK457" s="3"/>
      <c r="BL457" s="3"/>
      <c r="BM457" s="3"/>
    </row>
    <row r="458" spans="1:65" ht="15">
      <c r="A458"/>
      <c r="J458"/>
      <c r="AA458"/>
      <c r="AB458"/>
      <c r="AC458"/>
      <c r="AD458"/>
      <c r="AE458"/>
      <c r="AF458"/>
      <c r="AG458"/>
      <c r="AH458"/>
      <c r="BI458" s="2"/>
      <c r="BJ458" s="3"/>
      <c r="BK458" s="3"/>
      <c r="BL458" s="3"/>
      <c r="BM458" s="3"/>
    </row>
    <row r="459" spans="1:65" ht="15">
      <c r="A459"/>
      <c r="J459"/>
      <c r="AA459"/>
      <c r="AB459"/>
      <c r="AC459"/>
      <c r="AD459"/>
      <c r="AE459"/>
      <c r="AF459"/>
      <c r="AG459"/>
      <c r="AH459"/>
      <c r="BI459" s="2"/>
      <c r="BJ459" s="3"/>
      <c r="BK459" s="3"/>
      <c r="BL459" s="3"/>
      <c r="BM459" s="3"/>
    </row>
    <row r="460" spans="1:65" ht="15">
      <c r="A460"/>
      <c r="J460"/>
      <c r="AA460"/>
      <c r="AB460"/>
      <c r="AC460"/>
      <c r="AD460"/>
      <c r="AE460"/>
      <c r="AF460"/>
      <c r="AG460"/>
      <c r="AH460"/>
      <c r="BI460" s="2"/>
      <c r="BJ460" s="3"/>
      <c r="BK460" s="3"/>
      <c r="BL460" s="3"/>
      <c r="BM460" s="3"/>
    </row>
    <row r="461" spans="1:65" ht="15">
      <c r="A461"/>
      <c r="J461"/>
      <c r="AA461"/>
      <c r="AB461"/>
      <c r="AC461"/>
      <c r="AD461"/>
      <c r="AE461"/>
      <c r="AF461"/>
      <c r="AG461"/>
      <c r="AH461"/>
      <c r="BI461" s="2"/>
      <c r="BJ461" s="3"/>
      <c r="BK461" s="3"/>
      <c r="BL461" s="3"/>
      <c r="BM461" s="3"/>
    </row>
    <row r="462" spans="1:65" ht="15">
      <c r="A462"/>
      <c r="J462"/>
      <c r="AA462"/>
      <c r="AB462"/>
      <c r="AC462"/>
      <c r="AD462"/>
      <c r="AE462"/>
      <c r="AF462"/>
      <c r="AG462"/>
      <c r="AH462"/>
      <c r="BI462" s="2"/>
      <c r="BJ462" s="3"/>
      <c r="BK462" s="3"/>
      <c r="BL462" s="3"/>
      <c r="BM462" s="3"/>
    </row>
    <row r="463" spans="1:65" ht="15">
      <c r="A463"/>
      <c r="J463"/>
      <c r="AA463"/>
      <c r="AB463"/>
      <c r="AC463"/>
      <c r="AD463"/>
      <c r="AE463"/>
      <c r="AF463"/>
      <c r="AG463"/>
      <c r="AH463"/>
      <c r="BI463" s="2"/>
      <c r="BJ463" s="3"/>
      <c r="BK463" s="3"/>
      <c r="BL463" s="3"/>
      <c r="BM463" s="3"/>
    </row>
    <row r="464" spans="1:65" ht="15">
      <c r="A464"/>
      <c r="J464"/>
      <c r="AA464"/>
      <c r="AB464"/>
      <c r="AC464"/>
      <c r="AD464"/>
      <c r="AE464"/>
      <c r="AF464"/>
      <c r="AG464"/>
      <c r="AH464"/>
      <c r="BI464" s="2"/>
      <c r="BJ464" s="3"/>
      <c r="BK464" s="3"/>
      <c r="BL464" s="3"/>
      <c r="BM464" s="3"/>
    </row>
    <row r="465" spans="1:65" ht="15">
      <c r="A465"/>
      <c r="J465"/>
      <c r="AA465"/>
      <c r="AB465"/>
      <c r="AC465"/>
      <c r="AD465"/>
      <c r="AE465"/>
      <c r="AF465"/>
      <c r="AG465"/>
      <c r="AH465"/>
      <c r="BI465" s="2"/>
      <c r="BJ465" s="3"/>
      <c r="BK465" s="3"/>
      <c r="BL465" s="3"/>
      <c r="BM465" s="3"/>
    </row>
    <row r="466" spans="1:65" ht="15">
      <c r="A466"/>
      <c r="J466"/>
      <c r="AA466"/>
      <c r="AB466"/>
      <c r="AC466"/>
      <c r="AD466"/>
      <c r="AE466"/>
      <c r="AF466"/>
      <c r="AG466"/>
      <c r="AH466"/>
      <c r="BI466" s="2"/>
      <c r="BJ466" s="3"/>
      <c r="BK466" s="3"/>
      <c r="BL466" s="3"/>
      <c r="BM466" s="3"/>
    </row>
    <row r="467" spans="1:65" ht="15">
      <c r="A467"/>
      <c r="J467"/>
      <c r="AA467"/>
      <c r="AB467"/>
      <c r="AC467"/>
      <c r="AD467"/>
      <c r="AE467"/>
      <c r="AF467"/>
      <c r="AG467"/>
      <c r="AH467"/>
      <c r="BI467" s="2"/>
      <c r="BJ467" s="3"/>
      <c r="BK467" s="3"/>
      <c r="BL467" s="3"/>
      <c r="BM467" s="3"/>
    </row>
    <row r="468" spans="1:65" ht="15">
      <c r="A468"/>
      <c r="J468"/>
      <c r="AA468"/>
      <c r="AB468"/>
      <c r="AC468"/>
      <c r="AD468"/>
      <c r="AE468"/>
      <c r="AF468"/>
      <c r="AG468"/>
      <c r="AH468"/>
      <c r="BI468" s="2"/>
      <c r="BJ468" s="3"/>
      <c r="BK468" s="3"/>
      <c r="BL468" s="3"/>
      <c r="BM468" s="3"/>
    </row>
    <row r="469" spans="1:65" ht="15">
      <c r="A469"/>
      <c r="J469"/>
      <c r="AA469"/>
      <c r="AB469"/>
      <c r="AC469"/>
      <c r="AD469"/>
      <c r="AE469"/>
      <c r="AF469"/>
      <c r="AG469"/>
      <c r="AH469"/>
      <c r="BI469" s="2"/>
      <c r="BJ469" s="3"/>
      <c r="BK469" s="3"/>
      <c r="BL469" s="3"/>
      <c r="BM469" s="3"/>
    </row>
    <row r="470" spans="1:65" ht="15">
      <c r="A470"/>
      <c r="J470"/>
      <c r="AA470"/>
      <c r="AB470"/>
      <c r="AC470"/>
      <c r="AD470"/>
      <c r="AE470"/>
      <c r="AF470"/>
      <c r="AG470"/>
      <c r="AH470"/>
      <c r="BI470" s="2"/>
      <c r="BJ470" s="3"/>
      <c r="BK470" s="3"/>
      <c r="BL470" s="3"/>
      <c r="BM470" s="3"/>
    </row>
    <row r="471" spans="1:65" ht="15">
      <c r="A471"/>
      <c r="J471"/>
      <c r="AA471"/>
      <c r="AB471"/>
      <c r="AC471"/>
      <c r="AD471"/>
      <c r="AE471"/>
      <c r="AF471"/>
      <c r="AG471"/>
      <c r="AH471"/>
      <c r="BI471" s="2"/>
      <c r="BJ471" s="3"/>
      <c r="BK471" s="3"/>
      <c r="BL471" s="3"/>
      <c r="BM471" s="3"/>
    </row>
    <row r="472" spans="1:65" ht="15">
      <c r="A472"/>
      <c r="J472"/>
      <c r="AA472"/>
      <c r="AB472"/>
      <c r="AC472"/>
      <c r="AD472"/>
      <c r="AE472"/>
      <c r="AF472"/>
      <c r="AG472"/>
      <c r="AH472"/>
      <c r="BI472" s="2"/>
      <c r="BJ472" s="3"/>
      <c r="BK472" s="3"/>
      <c r="BL472" s="3"/>
      <c r="BM472" s="3"/>
    </row>
    <row r="473" spans="1:65" ht="15">
      <c r="A473"/>
      <c r="J473"/>
      <c r="AA473"/>
      <c r="AB473"/>
      <c r="AC473"/>
      <c r="AD473"/>
      <c r="AE473"/>
      <c r="AF473"/>
      <c r="AG473"/>
      <c r="AH473"/>
      <c r="BI473" s="2"/>
      <c r="BJ473" s="3"/>
      <c r="BK473" s="3"/>
      <c r="BL473" s="3"/>
      <c r="BM473" s="3"/>
    </row>
    <row r="474" spans="1:65" ht="15">
      <c r="A474"/>
      <c r="J474"/>
      <c r="AA474"/>
      <c r="AB474"/>
      <c r="AC474"/>
      <c r="AD474"/>
      <c r="AE474"/>
      <c r="AF474"/>
      <c r="AG474"/>
      <c r="AH474"/>
      <c r="BI474" s="2"/>
      <c r="BJ474" s="3"/>
      <c r="BK474" s="3"/>
      <c r="BL474" s="3"/>
      <c r="BM474" s="3"/>
    </row>
    <row r="475" spans="1:65" ht="15">
      <c r="A475"/>
      <c r="J475"/>
      <c r="AA475"/>
      <c r="AB475"/>
      <c r="AC475"/>
      <c r="AD475"/>
      <c r="AE475"/>
      <c r="AF475"/>
      <c r="AG475"/>
      <c r="AH475"/>
      <c r="BI475" s="2"/>
      <c r="BJ475" s="3"/>
      <c r="BK475" s="3"/>
      <c r="BL475" s="3"/>
      <c r="BM475" s="3"/>
    </row>
    <row r="476" spans="1:65" ht="15">
      <c r="A476"/>
      <c r="J476"/>
      <c r="AA476"/>
      <c r="AB476"/>
      <c r="AC476"/>
      <c r="AD476"/>
      <c r="AE476"/>
      <c r="AF476"/>
      <c r="AG476"/>
      <c r="AH476"/>
      <c r="BI476" s="2"/>
      <c r="BJ476" s="3"/>
      <c r="BK476" s="3"/>
      <c r="BL476" s="3"/>
      <c r="BM476" s="3"/>
    </row>
    <row r="477" spans="1:65" ht="15">
      <c r="A477"/>
      <c r="J477"/>
      <c r="AA477"/>
      <c r="AB477"/>
      <c r="AC477"/>
      <c r="AD477"/>
      <c r="AE477"/>
      <c r="AF477"/>
      <c r="AG477"/>
      <c r="AH477"/>
      <c r="BI477" s="2"/>
      <c r="BJ477" s="3"/>
      <c r="BK477" s="3"/>
      <c r="BL477" s="3"/>
      <c r="BM477" s="3"/>
    </row>
    <row r="478" spans="1:65" ht="15">
      <c r="A478"/>
      <c r="J478"/>
      <c r="AA478"/>
      <c r="AB478"/>
      <c r="AC478"/>
      <c r="AD478"/>
      <c r="AE478"/>
      <c r="AF478"/>
      <c r="AG478"/>
      <c r="AH478"/>
      <c r="BI478" s="2"/>
      <c r="BJ478" s="3"/>
      <c r="BK478" s="3"/>
      <c r="BL478" s="3"/>
      <c r="BM478" s="3"/>
    </row>
    <row r="479" spans="1:65" ht="15">
      <c r="A479"/>
      <c r="J479"/>
      <c r="AA479"/>
      <c r="AB479"/>
      <c r="AC479"/>
      <c r="AD479"/>
      <c r="AE479"/>
      <c r="AF479"/>
      <c r="AG479"/>
      <c r="AH479"/>
      <c r="BI479" s="2"/>
      <c r="BJ479" s="3"/>
      <c r="BK479" s="3"/>
      <c r="BL479" s="3"/>
      <c r="BM479" s="3"/>
    </row>
    <row r="480" spans="1:65" ht="15">
      <c r="A480"/>
      <c r="J480"/>
      <c r="AA480"/>
      <c r="AB480"/>
      <c r="AC480"/>
      <c r="AD480"/>
      <c r="AE480"/>
      <c r="AF480"/>
      <c r="AG480"/>
      <c r="AH480"/>
      <c r="BI480" s="2"/>
      <c r="BJ480" s="3"/>
      <c r="BK480" s="3"/>
      <c r="BL480" s="3"/>
      <c r="BM480" s="3"/>
    </row>
    <row r="481" spans="1:65" ht="15">
      <c r="A481"/>
      <c r="J481"/>
      <c r="AA481"/>
      <c r="AB481"/>
      <c r="AC481"/>
      <c r="AD481"/>
      <c r="AE481"/>
      <c r="AF481"/>
      <c r="AG481"/>
      <c r="AH481"/>
      <c r="BI481" s="2"/>
      <c r="BJ481" s="3"/>
      <c r="BK481" s="3"/>
      <c r="BL481" s="3"/>
      <c r="BM481" s="3"/>
    </row>
    <row r="482" spans="1:65" ht="15">
      <c r="A482"/>
      <c r="J482"/>
      <c r="AA482"/>
      <c r="AB482"/>
      <c r="AC482"/>
      <c r="AD482"/>
      <c r="AE482"/>
      <c r="AF482"/>
      <c r="AG482"/>
      <c r="AH482"/>
      <c r="BI482" s="2"/>
      <c r="BJ482" s="3"/>
      <c r="BK482" s="3"/>
      <c r="BL482" s="3"/>
      <c r="BM482" s="3"/>
    </row>
    <row r="483" spans="1:65" ht="15">
      <c r="A483"/>
      <c r="J483"/>
      <c r="AA483"/>
      <c r="AB483"/>
      <c r="AC483"/>
      <c r="AD483"/>
      <c r="AE483"/>
      <c r="AF483"/>
      <c r="AG483"/>
      <c r="AH483"/>
      <c r="BI483" s="2"/>
      <c r="BJ483" s="3"/>
      <c r="BK483" s="3"/>
      <c r="BL483" s="3"/>
      <c r="BM483" s="3"/>
    </row>
    <row r="484" spans="1:65" ht="15">
      <c r="A484"/>
      <c r="J484"/>
      <c r="AA484"/>
      <c r="AB484"/>
      <c r="AC484"/>
      <c r="AD484"/>
      <c r="AE484"/>
      <c r="AF484"/>
      <c r="AG484"/>
      <c r="AH484"/>
      <c r="BI484" s="2"/>
      <c r="BJ484" s="3"/>
      <c r="BK484" s="3"/>
      <c r="BL484" s="3"/>
      <c r="BM484" s="3"/>
    </row>
    <row r="485" spans="1:65" ht="15">
      <c r="A485"/>
      <c r="J485"/>
      <c r="AA485"/>
      <c r="AB485"/>
      <c r="AC485"/>
      <c r="AD485"/>
      <c r="AE485"/>
      <c r="AF485"/>
      <c r="AG485"/>
      <c r="AH485"/>
      <c r="BI485" s="2"/>
      <c r="BJ485" s="3"/>
      <c r="BK485" s="3"/>
      <c r="BL485" s="3"/>
      <c r="BM485" s="3"/>
    </row>
    <row r="486" spans="1:65" ht="15">
      <c r="A486"/>
      <c r="J486"/>
      <c r="AA486"/>
      <c r="AB486"/>
      <c r="AC486"/>
      <c r="AD486"/>
      <c r="AE486"/>
      <c r="AF486"/>
      <c r="AG486"/>
      <c r="AH486"/>
      <c r="BI486" s="2"/>
      <c r="BJ486" s="3"/>
      <c r="BK486" s="3"/>
      <c r="BL486" s="3"/>
      <c r="BM486" s="3"/>
    </row>
    <row r="487" spans="1:65" ht="15">
      <c r="A487"/>
      <c r="J487"/>
      <c r="AA487"/>
      <c r="AB487"/>
      <c r="AC487"/>
      <c r="AD487"/>
      <c r="AE487"/>
      <c r="AF487"/>
      <c r="AG487"/>
      <c r="AH487"/>
      <c r="BI487" s="2"/>
      <c r="BJ487" s="3"/>
      <c r="BK487" s="3"/>
      <c r="BL487" s="3"/>
      <c r="BM487" s="3"/>
    </row>
    <row r="488" spans="1:65" ht="15">
      <c r="A488"/>
      <c r="J488"/>
      <c r="AA488"/>
      <c r="AB488"/>
      <c r="AC488"/>
      <c r="AD488"/>
      <c r="AE488"/>
      <c r="AF488"/>
      <c r="AG488"/>
      <c r="AH488"/>
      <c r="BI488" s="2"/>
      <c r="BJ488" s="3"/>
      <c r="BK488" s="3"/>
      <c r="BL488" s="3"/>
      <c r="BM488" s="3"/>
    </row>
    <row r="489" spans="1:65" ht="15">
      <c r="A489"/>
      <c r="J489"/>
      <c r="AA489"/>
      <c r="AB489"/>
      <c r="AC489"/>
      <c r="AD489"/>
      <c r="AE489"/>
      <c r="AF489"/>
      <c r="AG489"/>
      <c r="AH489"/>
      <c r="BI489" s="2"/>
      <c r="BJ489" s="3"/>
      <c r="BK489" s="3"/>
      <c r="BL489" s="3"/>
      <c r="BM489" s="3"/>
    </row>
    <row r="490" spans="1:65" ht="15">
      <c r="A490"/>
      <c r="J490"/>
      <c r="AA490"/>
      <c r="AB490"/>
      <c r="AC490"/>
      <c r="AD490"/>
      <c r="AE490"/>
      <c r="AF490"/>
      <c r="AG490"/>
      <c r="AH490"/>
      <c r="BI490" s="2"/>
      <c r="BJ490" s="3"/>
      <c r="BK490" s="3"/>
      <c r="BL490" s="3"/>
      <c r="BM490" s="3"/>
    </row>
    <row r="491" spans="1:65" ht="15">
      <c r="A491"/>
      <c r="J491"/>
      <c r="AA491"/>
      <c r="AB491"/>
      <c r="AC491"/>
      <c r="AD491"/>
      <c r="AE491"/>
      <c r="AF491"/>
      <c r="AG491"/>
      <c r="AH491"/>
      <c r="BI491" s="2"/>
      <c r="BJ491" s="3"/>
      <c r="BK491" s="3"/>
      <c r="BL491" s="3"/>
      <c r="BM491" s="3"/>
    </row>
    <row r="492" spans="1:65" ht="15">
      <c r="A492"/>
      <c r="J492"/>
      <c r="AA492"/>
      <c r="AB492"/>
      <c r="AC492"/>
      <c r="AD492"/>
      <c r="AE492"/>
      <c r="AF492"/>
      <c r="AG492"/>
      <c r="AH492"/>
      <c r="BI492" s="2"/>
      <c r="BJ492" s="3"/>
      <c r="BK492" s="3"/>
      <c r="BL492" s="3"/>
      <c r="BM492" s="3"/>
    </row>
    <row r="493" spans="1:65" ht="15">
      <c r="A493"/>
      <c r="J493"/>
      <c r="AA493"/>
      <c r="AB493"/>
      <c r="AC493"/>
      <c r="AD493"/>
      <c r="AE493"/>
      <c r="AF493"/>
      <c r="AG493"/>
      <c r="AH493"/>
      <c r="BI493" s="2"/>
      <c r="BJ493" s="3"/>
      <c r="BK493" s="3"/>
      <c r="BL493" s="3"/>
      <c r="BM493" s="3"/>
    </row>
    <row r="494" spans="1:65" ht="15">
      <c r="A494"/>
      <c r="J494"/>
      <c r="AA494"/>
      <c r="AB494"/>
      <c r="AC494"/>
      <c r="AD494"/>
      <c r="AE494"/>
      <c r="AF494"/>
      <c r="AG494"/>
      <c r="AH494"/>
      <c r="BI494" s="2"/>
      <c r="BJ494" s="3"/>
      <c r="BK494" s="3"/>
      <c r="BL494" s="3"/>
      <c r="BM494" s="3"/>
    </row>
    <row r="495" spans="1:65" ht="15">
      <c r="A495"/>
      <c r="J495"/>
      <c r="AA495"/>
      <c r="AB495"/>
      <c r="AC495"/>
      <c r="AD495"/>
      <c r="AE495"/>
      <c r="AF495"/>
      <c r="AG495"/>
      <c r="AH495"/>
      <c r="BI495" s="2"/>
      <c r="BJ495" s="3"/>
      <c r="BK495" s="3"/>
      <c r="BL495" s="3"/>
      <c r="BM495" s="3"/>
    </row>
    <row r="496" spans="1:65" ht="15">
      <c r="A496"/>
      <c r="J496"/>
      <c r="AA496"/>
      <c r="AB496"/>
      <c r="AC496"/>
      <c r="AD496"/>
      <c r="AE496"/>
      <c r="AF496"/>
      <c r="AG496"/>
      <c r="AH496"/>
      <c r="BI496" s="2"/>
      <c r="BJ496" s="3"/>
      <c r="BK496" s="3"/>
      <c r="BL496" s="3"/>
      <c r="BM496" s="3"/>
    </row>
    <row r="497" spans="1:65" ht="15">
      <c r="A497"/>
      <c r="J497"/>
      <c r="AA497"/>
      <c r="AB497"/>
      <c r="AC497"/>
      <c r="AD497"/>
      <c r="AE497"/>
      <c r="AF497"/>
      <c r="AG497"/>
      <c r="AH497"/>
      <c r="BI497" s="2"/>
      <c r="BJ497" s="3"/>
      <c r="BK497" s="3"/>
      <c r="BL497" s="3"/>
      <c r="BM497" s="3"/>
    </row>
    <row r="498" spans="1:65" ht="15">
      <c r="A498"/>
      <c r="J498"/>
      <c r="AA498"/>
      <c r="AB498"/>
      <c r="AC498"/>
      <c r="AD498"/>
      <c r="AE498"/>
      <c r="AF498"/>
      <c r="AG498"/>
      <c r="AH498"/>
      <c r="BI498" s="2"/>
      <c r="BJ498" s="3"/>
      <c r="BK498" s="3"/>
      <c r="BL498" s="3"/>
      <c r="BM498" s="3"/>
    </row>
    <row r="499" spans="1:65" ht="15">
      <c r="A499"/>
      <c r="J499"/>
      <c r="AA499"/>
      <c r="AB499"/>
      <c r="AC499"/>
      <c r="AD499"/>
      <c r="AE499"/>
      <c r="AF499"/>
      <c r="AG499"/>
      <c r="AH499"/>
      <c r="BI499" s="2"/>
      <c r="BJ499" s="3"/>
      <c r="BK499" s="3"/>
      <c r="BL499" s="3"/>
      <c r="BM499" s="3"/>
    </row>
    <row r="500" spans="1:65" ht="15">
      <c r="A500"/>
      <c r="J500"/>
      <c r="AA500"/>
      <c r="AB500"/>
      <c r="AC500"/>
      <c r="AD500"/>
      <c r="AE500"/>
      <c r="AF500"/>
      <c r="AG500"/>
      <c r="AH500"/>
      <c r="BI500" s="2"/>
      <c r="BJ500" s="3"/>
      <c r="BK500" s="3"/>
      <c r="BL500" s="3"/>
      <c r="BM500" s="3"/>
    </row>
    <row r="501" spans="1:65" ht="15">
      <c r="A501"/>
      <c r="J501"/>
      <c r="AA501"/>
      <c r="AB501"/>
      <c r="AC501"/>
      <c r="AD501"/>
      <c r="AE501"/>
      <c r="AF501"/>
      <c r="AG501"/>
      <c r="AH501"/>
      <c r="BI501" s="2"/>
      <c r="BJ501" s="3"/>
      <c r="BK501" s="3"/>
      <c r="BL501" s="3"/>
      <c r="BM501" s="3"/>
    </row>
    <row r="502" spans="1:65" ht="15">
      <c r="A502"/>
      <c r="J502"/>
      <c r="AA502"/>
      <c r="AB502"/>
      <c r="AC502"/>
      <c r="AD502"/>
      <c r="AE502"/>
      <c r="AF502"/>
      <c r="AG502"/>
      <c r="AH502"/>
      <c r="BI502" s="2"/>
      <c r="BJ502" s="3"/>
      <c r="BK502" s="3"/>
      <c r="BL502" s="3"/>
      <c r="BM502" s="3"/>
    </row>
    <row r="503" spans="1:65" ht="15">
      <c r="A503"/>
      <c r="J503"/>
      <c r="AA503"/>
      <c r="AB503"/>
      <c r="AC503"/>
      <c r="AD503"/>
      <c r="AE503"/>
      <c r="AF503"/>
      <c r="AG503"/>
      <c r="AH503"/>
      <c r="BI503" s="2"/>
      <c r="BJ503" s="3"/>
      <c r="BK503" s="3"/>
      <c r="BL503" s="3"/>
      <c r="BM503" s="3"/>
    </row>
    <row r="504" spans="1:65" ht="15">
      <c r="A504"/>
      <c r="J504"/>
      <c r="AA504"/>
      <c r="AB504"/>
      <c r="AC504"/>
      <c r="AD504"/>
      <c r="AE504"/>
      <c r="AF504"/>
      <c r="AG504"/>
      <c r="AH504"/>
      <c r="BI504" s="2"/>
      <c r="BJ504" s="3"/>
      <c r="BK504" s="3"/>
      <c r="BL504" s="3"/>
      <c r="BM504" s="3"/>
    </row>
    <row r="505" spans="1:65" ht="15">
      <c r="A505"/>
      <c r="J505"/>
      <c r="AA505"/>
      <c r="AB505"/>
      <c r="AC505"/>
      <c r="AD505"/>
      <c r="AE505"/>
      <c r="AF505"/>
      <c r="AG505"/>
      <c r="AH505"/>
      <c r="BI505" s="2"/>
      <c r="BJ505" s="3"/>
      <c r="BK505" s="3"/>
      <c r="BL505" s="3"/>
      <c r="BM505" s="3"/>
    </row>
    <row r="506" spans="1:65" ht="15">
      <c r="A506"/>
      <c r="J506"/>
      <c r="AA506"/>
      <c r="AB506"/>
      <c r="AC506"/>
      <c r="AD506"/>
      <c r="AE506"/>
      <c r="AF506"/>
      <c r="AG506"/>
      <c r="AH506"/>
      <c r="BI506" s="2"/>
      <c r="BJ506" s="3"/>
      <c r="BK506" s="3"/>
      <c r="BL506" s="3"/>
      <c r="BM506" s="3"/>
    </row>
    <row r="507" spans="1:65" ht="15">
      <c r="A507"/>
      <c r="J507"/>
      <c r="AA507"/>
      <c r="AB507"/>
      <c r="AC507"/>
      <c r="AD507"/>
      <c r="AE507"/>
      <c r="AF507"/>
      <c r="AG507"/>
      <c r="AH507"/>
      <c r="BI507" s="2"/>
      <c r="BJ507" s="3"/>
      <c r="BK507" s="3"/>
      <c r="BL507" s="3"/>
      <c r="BM507" s="3"/>
    </row>
    <row r="508" spans="1:65" ht="15">
      <c r="A508"/>
      <c r="J508"/>
      <c r="AA508"/>
      <c r="AB508"/>
      <c r="AC508"/>
      <c r="AD508"/>
      <c r="AE508"/>
      <c r="AF508"/>
      <c r="AG508"/>
      <c r="AH508"/>
      <c r="BI508" s="2"/>
      <c r="BJ508" s="3"/>
      <c r="BK508" s="3"/>
      <c r="BL508" s="3"/>
      <c r="BM508" s="3"/>
    </row>
    <row r="509" spans="1:65" ht="15">
      <c r="A509"/>
      <c r="J509"/>
      <c r="AA509"/>
      <c r="AB509"/>
      <c r="AC509"/>
      <c r="AD509"/>
      <c r="AE509"/>
      <c r="AF509"/>
      <c r="AG509"/>
      <c r="AH509"/>
      <c r="BI509" s="2"/>
      <c r="BJ509" s="3"/>
      <c r="BK509" s="3"/>
      <c r="BL509" s="3"/>
      <c r="BM509" s="3"/>
    </row>
    <row r="510" spans="1:65" ht="15">
      <c r="A510"/>
      <c r="J510"/>
      <c r="AA510"/>
      <c r="AB510"/>
      <c r="AC510"/>
      <c r="AD510"/>
      <c r="AE510"/>
      <c r="AF510"/>
      <c r="AG510"/>
      <c r="AH510"/>
      <c r="BI510" s="2"/>
      <c r="BJ510" s="3"/>
      <c r="BK510" s="3"/>
      <c r="BL510" s="3"/>
      <c r="BM510" s="3"/>
    </row>
    <row r="511" spans="1:65" ht="15">
      <c r="A511"/>
      <c r="J511"/>
      <c r="AA511"/>
      <c r="AB511"/>
      <c r="AC511"/>
      <c r="AD511"/>
      <c r="AE511"/>
      <c r="AF511"/>
      <c r="AG511"/>
      <c r="AH511"/>
      <c r="BI511" s="2"/>
      <c r="BJ511" s="3"/>
      <c r="BK511" s="3"/>
      <c r="BL511" s="3"/>
      <c r="BM511" s="3"/>
    </row>
    <row r="512" spans="1:65" ht="15">
      <c r="A512"/>
      <c r="J512"/>
      <c r="AA512"/>
      <c r="AB512"/>
      <c r="AC512"/>
      <c r="AD512"/>
      <c r="AE512"/>
      <c r="AF512"/>
      <c r="AG512"/>
      <c r="AH512"/>
      <c r="BI512" s="2"/>
      <c r="BJ512" s="3"/>
      <c r="BK512" s="3"/>
      <c r="BL512" s="3"/>
      <c r="BM512" s="3"/>
    </row>
    <row r="513" spans="1:65" ht="15">
      <c r="A513"/>
      <c r="J513"/>
      <c r="AA513"/>
      <c r="AB513"/>
      <c r="AC513"/>
      <c r="AD513"/>
      <c r="AE513"/>
      <c r="AF513"/>
      <c r="AG513"/>
      <c r="AH513"/>
      <c r="BI513" s="2"/>
      <c r="BJ513" s="3"/>
      <c r="BK513" s="3"/>
      <c r="BL513" s="3"/>
      <c r="BM513" s="3"/>
    </row>
    <row r="514" spans="1:65" ht="15">
      <c r="A514"/>
      <c r="J514"/>
      <c r="AA514"/>
      <c r="AB514"/>
      <c r="AC514"/>
      <c r="AD514"/>
      <c r="AE514"/>
      <c r="AF514"/>
      <c r="AG514"/>
      <c r="AH514"/>
      <c r="BI514" s="2"/>
      <c r="BJ514" s="3"/>
      <c r="BK514" s="3"/>
      <c r="BL514" s="3"/>
      <c r="BM514" s="3"/>
    </row>
    <row r="515" spans="1:65" ht="15">
      <c r="A515"/>
      <c r="J515"/>
      <c r="AA515"/>
      <c r="AB515"/>
      <c r="AC515"/>
      <c r="AD515"/>
      <c r="AE515"/>
      <c r="AF515"/>
      <c r="AG515"/>
      <c r="AH515"/>
      <c r="BI515" s="2"/>
      <c r="BJ515" s="3"/>
      <c r="BK515" s="3"/>
      <c r="BL515" s="3"/>
      <c r="BM515" s="3"/>
    </row>
    <row r="516" spans="1:65" ht="15">
      <c r="A516"/>
      <c r="J516"/>
      <c r="AA516"/>
      <c r="AB516"/>
      <c r="AC516"/>
      <c r="AD516"/>
      <c r="AE516"/>
      <c r="AF516"/>
      <c r="AG516"/>
      <c r="AH516"/>
      <c r="BI516" s="2"/>
      <c r="BJ516" s="3"/>
      <c r="BK516" s="3"/>
      <c r="BL516" s="3"/>
      <c r="BM516" s="3"/>
    </row>
    <row r="517" spans="1:65" ht="15">
      <c r="A517"/>
      <c r="J517"/>
      <c r="AA517"/>
      <c r="AB517"/>
      <c r="AC517"/>
      <c r="AD517"/>
      <c r="AE517"/>
      <c r="AF517"/>
      <c r="AG517"/>
      <c r="AH517"/>
      <c r="BI517" s="2"/>
      <c r="BJ517" s="3"/>
      <c r="BK517" s="3"/>
      <c r="BL517" s="3"/>
      <c r="BM517" s="3"/>
    </row>
    <row r="518" spans="1:65" ht="15">
      <c r="A518"/>
      <c r="J518"/>
      <c r="AA518"/>
      <c r="AB518"/>
      <c r="AC518"/>
      <c r="AD518"/>
      <c r="AE518"/>
      <c r="AF518"/>
      <c r="AG518"/>
      <c r="AH518"/>
      <c r="BI518" s="2"/>
      <c r="BJ518" s="3"/>
      <c r="BK518" s="3"/>
      <c r="BL518" s="3"/>
      <c r="BM518" s="3"/>
    </row>
    <row r="519" spans="1:65" ht="15">
      <c r="A519"/>
      <c r="J519"/>
      <c r="AA519"/>
      <c r="AB519"/>
      <c r="AC519"/>
      <c r="AD519"/>
      <c r="AE519"/>
      <c r="AF519"/>
      <c r="AG519"/>
      <c r="AH519"/>
      <c r="BI519" s="2"/>
      <c r="BJ519" s="3"/>
      <c r="BK519" s="3"/>
      <c r="BL519" s="3"/>
      <c r="BM519" s="3"/>
    </row>
    <row r="520" spans="1:65" ht="15">
      <c r="A520"/>
      <c r="J520"/>
      <c r="AA520"/>
      <c r="AB520"/>
      <c r="AC520"/>
      <c r="AD520"/>
      <c r="AE520"/>
      <c r="AF520"/>
      <c r="AG520"/>
      <c r="AH520"/>
      <c r="BI520" s="2"/>
      <c r="BJ520" s="3"/>
      <c r="BK520" s="3"/>
      <c r="BL520" s="3"/>
      <c r="BM520" s="3"/>
    </row>
    <row r="521" spans="1:65" ht="15">
      <c r="A521"/>
      <c r="J521"/>
      <c r="AA521"/>
      <c r="AB521"/>
      <c r="AC521"/>
      <c r="AD521"/>
      <c r="AE521"/>
      <c r="AF521"/>
      <c r="AG521"/>
      <c r="AH521"/>
      <c r="BI521" s="2"/>
      <c r="BJ521" s="3"/>
      <c r="BK521" s="3"/>
      <c r="BL521" s="3"/>
      <c r="BM521" s="3"/>
    </row>
    <row r="522" spans="1:65" ht="15">
      <c r="A522"/>
      <c r="J522"/>
      <c r="AA522"/>
      <c r="AB522"/>
      <c r="AC522"/>
      <c r="AD522"/>
      <c r="AE522"/>
      <c r="AF522"/>
      <c r="AG522"/>
      <c r="AH522"/>
      <c r="BI522" s="2"/>
      <c r="BJ522" s="3"/>
      <c r="BK522" s="3"/>
      <c r="BL522" s="3"/>
      <c r="BM522" s="3"/>
    </row>
    <row r="523" spans="1:65" ht="15">
      <c r="A523"/>
      <c r="J523"/>
      <c r="AA523"/>
      <c r="AB523"/>
      <c r="AC523"/>
      <c r="AD523"/>
      <c r="AE523"/>
      <c r="AF523"/>
      <c r="AG523"/>
      <c r="AH523"/>
      <c r="BI523" s="2"/>
      <c r="BJ523" s="3"/>
      <c r="BK523" s="3"/>
      <c r="BL523" s="3"/>
      <c r="BM523" s="3"/>
    </row>
    <row r="524" spans="1:65" ht="15">
      <c r="A524"/>
      <c r="J524"/>
      <c r="AA524"/>
      <c r="AB524"/>
      <c r="AC524"/>
      <c r="AD524"/>
      <c r="AE524"/>
      <c r="AF524"/>
      <c r="AG524"/>
      <c r="AH524"/>
      <c r="BI524" s="2"/>
      <c r="BJ524" s="3"/>
      <c r="BK524" s="3"/>
      <c r="BL524" s="3"/>
      <c r="BM524" s="3"/>
    </row>
    <row r="525" spans="1:65" ht="15">
      <c r="A525"/>
      <c r="J525"/>
      <c r="AA525"/>
      <c r="AB525"/>
      <c r="AC525"/>
      <c r="AD525"/>
      <c r="AE525"/>
      <c r="AF525"/>
      <c r="AG525"/>
      <c r="AH525"/>
      <c r="BI525" s="2"/>
      <c r="BJ525" s="3"/>
      <c r="BK525" s="3"/>
      <c r="BL525" s="3"/>
      <c r="BM525" s="3"/>
    </row>
    <row r="526" spans="1:65" ht="15">
      <c r="A526"/>
      <c r="J526"/>
      <c r="AA526"/>
      <c r="AB526"/>
      <c r="AC526"/>
      <c r="AD526"/>
      <c r="AE526"/>
      <c r="AF526"/>
      <c r="AG526"/>
      <c r="AH526"/>
      <c r="BI526" s="2"/>
      <c r="BJ526" s="3"/>
      <c r="BK526" s="3"/>
      <c r="BL526" s="3"/>
      <c r="BM526" s="3"/>
    </row>
    <row r="527" spans="1:65" ht="15">
      <c r="A527"/>
      <c r="J527"/>
      <c r="AA527"/>
      <c r="AB527"/>
      <c r="AC527"/>
      <c r="AD527"/>
      <c r="AE527"/>
      <c r="AF527"/>
      <c r="AG527"/>
      <c r="AH527"/>
      <c r="BI527" s="2"/>
      <c r="BJ527" s="3"/>
      <c r="BK527" s="3"/>
      <c r="BL527" s="3"/>
      <c r="BM527" s="3"/>
    </row>
    <row r="528" spans="1:65" ht="15">
      <c r="A528"/>
      <c r="J528"/>
      <c r="AA528"/>
      <c r="AB528"/>
      <c r="AC528"/>
      <c r="AD528"/>
      <c r="AE528"/>
      <c r="AF528"/>
      <c r="AG528"/>
      <c r="AH528"/>
      <c r="BI528" s="2"/>
      <c r="BJ528" s="3"/>
      <c r="BK528" s="3"/>
      <c r="BL528" s="3"/>
      <c r="BM528" s="3"/>
    </row>
    <row r="529" spans="1:65" ht="15">
      <c r="A529"/>
      <c r="J529"/>
      <c r="AA529"/>
      <c r="AB529"/>
      <c r="AC529"/>
      <c r="AD529"/>
      <c r="AE529"/>
      <c r="AF529"/>
      <c r="AG529"/>
      <c r="AH529"/>
      <c r="BI529" s="2"/>
      <c r="BJ529" s="3"/>
      <c r="BK529" s="3"/>
      <c r="BL529" s="3"/>
      <c r="BM529" s="3"/>
    </row>
    <row r="530" spans="1:65" ht="15">
      <c r="A530"/>
      <c r="J530"/>
      <c r="AA530"/>
      <c r="AB530"/>
      <c r="AC530"/>
      <c r="AD530"/>
      <c r="AE530"/>
      <c r="AF530"/>
      <c r="AG530"/>
      <c r="AH530"/>
      <c r="BI530" s="2"/>
      <c r="BJ530" s="3"/>
      <c r="BK530" s="3"/>
      <c r="BL530" s="3"/>
      <c r="BM530" s="3"/>
    </row>
    <row r="531" spans="1:65" ht="15">
      <c r="A531"/>
      <c r="J531"/>
      <c r="AA531"/>
      <c r="AB531"/>
      <c r="AC531"/>
      <c r="AD531"/>
      <c r="AE531"/>
      <c r="AF531"/>
      <c r="AG531"/>
      <c r="AH531"/>
      <c r="BI531" s="2"/>
      <c r="BJ531" s="3"/>
      <c r="BK531" s="3"/>
      <c r="BL531" s="3"/>
      <c r="BM531" s="3"/>
    </row>
    <row r="532" spans="1:65" ht="15">
      <c r="A532"/>
      <c r="J532"/>
      <c r="AA532"/>
      <c r="AB532"/>
      <c r="AC532"/>
      <c r="AD532"/>
      <c r="AE532"/>
      <c r="AF532"/>
      <c r="AG532"/>
      <c r="AH532"/>
      <c r="BI532" s="2"/>
      <c r="BJ532" s="3"/>
      <c r="BK532" s="3"/>
      <c r="BL532" s="3"/>
      <c r="BM532" s="3"/>
    </row>
    <row r="533" spans="1:65" ht="15">
      <c r="A533"/>
      <c r="J533"/>
      <c r="AA533"/>
      <c r="AB533"/>
      <c r="AC533"/>
      <c r="AD533"/>
      <c r="AE533"/>
      <c r="AF533"/>
      <c r="AG533"/>
      <c r="AH533"/>
      <c r="BI533" s="2"/>
      <c r="BJ533" s="3"/>
      <c r="BK533" s="3"/>
      <c r="BL533" s="3"/>
      <c r="BM533" s="3"/>
    </row>
    <row r="534" spans="1:65" ht="15">
      <c r="A534"/>
      <c r="J534"/>
      <c r="AA534"/>
      <c r="AB534"/>
      <c r="AC534"/>
      <c r="AD534"/>
      <c r="AE534"/>
      <c r="AF534"/>
      <c r="AG534"/>
      <c r="AH534"/>
      <c r="BI534" s="2"/>
      <c r="BJ534" s="3"/>
      <c r="BK534" s="3"/>
      <c r="BL534" s="3"/>
      <c r="BM534" s="3"/>
    </row>
    <row r="535" spans="1:65" ht="15">
      <c r="A535"/>
      <c r="J535"/>
      <c r="AA535"/>
      <c r="AB535"/>
      <c r="AC535"/>
      <c r="AD535"/>
      <c r="AE535"/>
      <c r="AF535"/>
      <c r="AG535"/>
      <c r="AH535"/>
      <c r="BI535" s="2"/>
      <c r="BJ535" s="3"/>
      <c r="BK535" s="3"/>
      <c r="BL535" s="3"/>
      <c r="BM535" s="3"/>
    </row>
    <row r="536" spans="1:65" ht="15">
      <c r="A536"/>
      <c r="J536"/>
      <c r="AA536"/>
      <c r="AB536"/>
      <c r="AC536"/>
      <c r="AD536"/>
      <c r="AE536"/>
      <c r="AF536"/>
      <c r="AG536"/>
      <c r="AH536"/>
      <c r="BI536" s="2"/>
      <c r="BJ536" s="3"/>
      <c r="BK536" s="3"/>
      <c r="BL536" s="3"/>
      <c r="BM536" s="3"/>
    </row>
    <row r="537" spans="1:65" ht="15">
      <c r="A537"/>
      <c r="J537"/>
      <c r="AA537"/>
      <c r="AB537"/>
      <c r="AC537"/>
      <c r="AD537"/>
      <c r="AE537"/>
      <c r="AF537"/>
      <c r="AG537"/>
      <c r="AH537"/>
      <c r="BI537" s="2"/>
      <c r="BJ537" s="3"/>
      <c r="BK537" s="3"/>
      <c r="BL537" s="3"/>
      <c r="BM537" s="3"/>
    </row>
    <row r="538" spans="1:65" ht="15">
      <c r="A538"/>
      <c r="J538"/>
      <c r="AA538"/>
      <c r="AB538"/>
      <c r="AC538"/>
      <c r="AD538"/>
      <c r="AE538"/>
      <c r="AF538"/>
      <c r="AG538"/>
      <c r="AH538"/>
      <c r="BI538" s="2"/>
      <c r="BJ538" s="3"/>
      <c r="BK538" s="3"/>
      <c r="BL538" s="3"/>
      <c r="BM538" s="3"/>
    </row>
    <row r="539" spans="1:65" ht="15">
      <c r="A539"/>
      <c r="J539"/>
      <c r="AA539"/>
      <c r="AB539"/>
      <c r="AC539"/>
      <c r="AD539"/>
      <c r="AE539"/>
      <c r="AF539"/>
      <c r="AG539"/>
      <c r="AH539"/>
      <c r="BI539" s="2"/>
      <c r="BJ539" s="3"/>
      <c r="BK539" s="3"/>
      <c r="BL539" s="3"/>
      <c r="BM539" s="3"/>
    </row>
    <row r="540" spans="1:65" ht="15">
      <c r="A540"/>
      <c r="J540"/>
      <c r="AA540"/>
      <c r="AB540"/>
      <c r="AC540"/>
      <c r="AD540"/>
      <c r="AE540"/>
      <c r="AF540"/>
      <c r="AG540"/>
      <c r="AH540"/>
      <c r="BI540" s="2"/>
      <c r="BJ540" s="3"/>
      <c r="BK540" s="3"/>
      <c r="BL540" s="3"/>
      <c r="BM540" s="3"/>
    </row>
    <row r="541" spans="1:65" ht="15">
      <c r="A541"/>
      <c r="J541"/>
      <c r="AA541"/>
      <c r="AB541"/>
      <c r="AC541"/>
      <c r="AD541"/>
      <c r="AE541"/>
      <c r="AF541"/>
      <c r="AG541"/>
      <c r="AH541"/>
      <c r="BI541" s="2"/>
      <c r="BJ541" s="3"/>
      <c r="BK541" s="3"/>
      <c r="BL541" s="3"/>
      <c r="BM541" s="3"/>
    </row>
    <row r="542" spans="1:65" ht="15">
      <c r="A542"/>
      <c r="J542"/>
      <c r="AA542"/>
      <c r="AB542"/>
      <c r="AC542"/>
      <c r="AD542"/>
      <c r="AE542"/>
      <c r="AF542"/>
      <c r="AG542"/>
      <c r="AH542"/>
      <c r="BI542" s="2"/>
      <c r="BJ542" s="3"/>
      <c r="BK542" s="3"/>
      <c r="BL542" s="3"/>
      <c r="BM542" s="3"/>
    </row>
    <row r="543" spans="1:65" ht="15">
      <c r="A543"/>
      <c r="J543"/>
      <c r="AA543"/>
      <c r="AB543"/>
      <c r="AC543"/>
      <c r="AD543"/>
      <c r="AE543"/>
      <c r="AF543"/>
      <c r="AG543"/>
      <c r="AH543"/>
      <c r="BI543" s="2"/>
      <c r="BJ543" s="3"/>
      <c r="BK543" s="3"/>
      <c r="BL543" s="3"/>
      <c r="BM543" s="3"/>
    </row>
    <row r="544" spans="1:65" ht="15">
      <c r="A544"/>
      <c r="J544"/>
      <c r="AA544"/>
      <c r="AB544"/>
      <c r="AC544"/>
      <c r="AD544"/>
      <c r="AE544"/>
      <c r="AF544"/>
      <c r="AG544"/>
      <c r="AH544"/>
      <c r="BI544" s="2"/>
      <c r="BJ544" s="3"/>
      <c r="BK544" s="3"/>
      <c r="BL544" s="3"/>
      <c r="BM544" s="3"/>
    </row>
    <row r="545" spans="1:65" ht="15">
      <c r="A545"/>
      <c r="J545"/>
      <c r="AA545"/>
      <c r="AB545"/>
      <c r="AC545"/>
      <c r="AD545"/>
      <c r="AE545"/>
      <c r="AF545"/>
      <c r="AG545"/>
      <c r="AH545"/>
      <c r="BI545" s="2"/>
      <c r="BJ545" s="3"/>
      <c r="BK545" s="3"/>
      <c r="BL545" s="3"/>
      <c r="BM545" s="3"/>
    </row>
    <row r="546" spans="1:65" ht="15">
      <c r="A546"/>
      <c r="J546"/>
      <c r="AA546"/>
      <c r="AB546"/>
      <c r="AC546"/>
      <c r="AD546"/>
      <c r="AE546"/>
      <c r="AF546"/>
      <c r="AG546"/>
      <c r="AH546"/>
      <c r="BI546" s="2"/>
      <c r="BJ546" s="3"/>
      <c r="BK546" s="3"/>
      <c r="BL546" s="3"/>
      <c r="BM546" s="3"/>
    </row>
    <row r="547" spans="1:65" ht="15">
      <c r="A547"/>
      <c r="J547"/>
      <c r="AA547"/>
      <c r="AB547"/>
      <c r="AC547"/>
      <c r="AD547"/>
      <c r="AE547"/>
      <c r="AF547"/>
      <c r="AG547"/>
      <c r="AH547"/>
      <c r="BI547" s="2"/>
      <c r="BJ547" s="3"/>
      <c r="BK547" s="3"/>
      <c r="BL547" s="3"/>
      <c r="BM547" s="3"/>
    </row>
    <row r="548" spans="1:65" ht="15">
      <c r="A548"/>
      <c r="J548"/>
      <c r="AA548"/>
      <c r="AB548"/>
      <c r="AC548"/>
      <c r="AD548"/>
      <c r="AE548"/>
      <c r="AF548"/>
      <c r="AG548"/>
      <c r="AH548"/>
      <c r="BI548" s="2"/>
      <c r="BJ548" s="3"/>
      <c r="BK548" s="3"/>
      <c r="BL548" s="3"/>
      <c r="BM548" s="3"/>
    </row>
    <row r="549" spans="1:65" ht="15">
      <c r="A549"/>
      <c r="J549"/>
      <c r="AA549"/>
      <c r="AB549"/>
      <c r="AC549"/>
      <c r="AD549"/>
      <c r="AE549"/>
      <c r="AF549"/>
      <c r="AG549"/>
      <c r="AH549"/>
      <c r="BI549" s="2"/>
      <c r="BJ549" s="3"/>
      <c r="BK549" s="3"/>
      <c r="BL549" s="3"/>
      <c r="BM549" s="3"/>
    </row>
    <row r="550" spans="1:65" ht="15">
      <c r="A550"/>
      <c r="J550"/>
      <c r="AA550"/>
      <c r="AB550"/>
      <c r="AC550"/>
      <c r="AD550"/>
      <c r="AE550"/>
      <c r="AF550"/>
      <c r="AG550"/>
      <c r="AH550"/>
      <c r="BI550" s="2"/>
      <c r="BJ550" s="3"/>
      <c r="BK550" s="3"/>
      <c r="BL550" s="3"/>
      <c r="BM550" s="3"/>
    </row>
    <row r="551" spans="1:65" ht="15">
      <c r="A551"/>
      <c r="J551"/>
      <c r="AA551"/>
      <c r="AB551"/>
      <c r="AC551"/>
      <c r="AD551"/>
      <c r="AE551"/>
      <c r="AF551"/>
      <c r="AG551"/>
      <c r="AH551"/>
      <c r="BI551" s="2"/>
      <c r="BJ551" s="3"/>
      <c r="BK551" s="3"/>
      <c r="BL551" s="3"/>
      <c r="BM551" s="3"/>
    </row>
    <row r="552" spans="1:65" ht="15">
      <c r="A552"/>
      <c r="J552"/>
      <c r="AA552"/>
      <c r="AB552"/>
      <c r="AC552"/>
      <c r="AD552"/>
      <c r="AE552"/>
      <c r="AF552"/>
      <c r="AG552"/>
      <c r="AH552"/>
      <c r="BI552" s="2"/>
      <c r="BJ552" s="3"/>
      <c r="BK552" s="3"/>
      <c r="BL552" s="3"/>
      <c r="BM552" s="3"/>
    </row>
    <row r="553" spans="1:65" ht="15">
      <c r="A553"/>
      <c r="J553"/>
      <c r="AA553"/>
      <c r="AB553"/>
      <c r="AC553"/>
      <c r="AD553"/>
      <c r="AE553"/>
      <c r="AF553"/>
      <c r="AG553"/>
      <c r="AH553"/>
      <c r="BI553" s="2"/>
      <c r="BJ553" s="3"/>
      <c r="BK553" s="3"/>
      <c r="BL553" s="3"/>
      <c r="BM553" s="3"/>
    </row>
    <row r="554" spans="1:65" ht="15">
      <c r="A554"/>
      <c r="J554"/>
      <c r="AA554"/>
      <c r="AB554"/>
      <c r="AC554"/>
      <c r="AD554"/>
      <c r="AE554"/>
      <c r="AF554"/>
      <c r="AG554"/>
      <c r="AH554"/>
      <c r="BI554" s="2"/>
      <c r="BJ554" s="3"/>
      <c r="BK554" s="3"/>
      <c r="BL554" s="3"/>
      <c r="BM554" s="3"/>
    </row>
    <row r="555" spans="1:65" ht="15">
      <c r="A555"/>
      <c r="J555"/>
      <c r="AA555"/>
      <c r="AB555"/>
      <c r="AC555"/>
      <c r="AD555"/>
      <c r="AE555"/>
      <c r="AF555"/>
      <c r="AG555"/>
      <c r="AH555"/>
      <c r="BI555" s="2"/>
      <c r="BJ555" s="3"/>
      <c r="BK555" s="3"/>
      <c r="BL555" s="3"/>
      <c r="BM555" s="3"/>
    </row>
    <row r="556" spans="1:65" ht="15">
      <c r="A556"/>
      <c r="J556"/>
      <c r="AA556"/>
      <c r="AB556"/>
      <c r="AC556"/>
      <c r="AD556"/>
      <c r="AE556"/>
      <c r="AF556"/>
      <c r="AG556"/>
      <c r="AH556"/>
      <c r="BI556" s="2"/>
      <c r="BJ556" s="3"/>
      <c r="BK556" s="3"/>
      <c r="BL556" s="3"/>
      <c r="BM556" s="3"/>
    </row>
    <row r="557" spans="1:65" ht="15">
      <c r="A557"/>
      <c r="J557"/>
      <c r="AA557"/>
      <c r="AB557"/>
      <c r="AC557"/>
      <c r="AD557"/>
      <c r="AE557"/>
      <c r="AF557"/>
      <c r="AG557"/>
      <c r="AH557"/>
      <c r="BI557" s="2"/>
      <c r="BJ557" s="3"/>
      <c r="BK557" s="3"/>
      <c r="BL557" s="3"/>
      <c r="BM557" s="3"/>
    </row>
    <row r="558" spans="1:65" ht="15">
      <c r="A558"/>
      <c r="J558"/>
      <c r="AA558"/>
      <c r="AB558"/>
      <c r="AC558"/>
      <c r="AD558"/>
      <c r="AE558"/>
      <c r="AF558"/>
      <c r="AG558"/>
      <c r="AH558"/>
      <c r="BI558" s="2"/>
      <c r="BJ558" s="3"/>
      <c r="BK558" s="3"/>
      <c r="BL558" s="3"/>
      <c r="BM558" s="3"/>
    </row>
    <row r="559" spans="1:65" ht="15">
      <c r="A559"/>
      <c r="J559"/>
      <c r="AA559"/>
      <c r="AB559"/>
      <c r="AC559"/>
      <c r="AD559"/>
      <c r="AE559"/>
      <c r="AF559"/>
      <c r="AG559"/>
      <c r="AH559"/>
      <c r="BI559" s="2"/>
      <c r="BJ559" s="3"/>
      <c r="BK559" s="3"/>
      <c r="BL559" s="3"/>
      <c r="BM559" s="3"/>
    </row>
    <row r="560" spans="1:65" ht="15">
      <c r="A560"/>
      <c r="J560"/>
      <c r="AA560"/>
      <c r="AB560"/>
      <c r="AC560"/>
      <c r="AD560"/>
      <c r="AE560"/>
      <c r="AF560"/>
      <c r="AG560"/>
      <c r="AH560"/>
      <c r="BI560" s="2"/>
      <c r="BJ560" s="3"/>
      <c r="BK560" s="3"/>
      <c r="BL560" s="3"/>
      <c r="BM560" s="3"/>
    </row>
    <row r="561" spans="1:65" ht="15">
      <c r="A561"/>
      <c r="J561"/>
      <c r="AA561"/>
      <c r="AB561"/>
      <c r="AC561"/>
      <c r="AD561"/>
      <c r="AE561"/>
      <c r="AF561"/>
      <c r="AG561"/>
      <c r="AH561"/>
      <c r="BI561" s="2"/>
      <c r="BJ561" s="3"/>
      <c r="BK561" s="3"/>
      <c r="BL561" s="3"/>
      <c r="BM561" s="3"/>
    </row>
    <row r="562" spans="1:65" ht="15">
      <c r="A562"/>
      <c r="J562"/>
      <c r="AA562"/>
      <c r="AB562"/>
      <c r="AC562"/>
      <c r="AD562"/>
      <c r="AE562"/>
      <c r="AF562"/>
      <c r="AG562"/>
      <c r="AH562"/>
      <c r="BI562" s="2"/>
      <c r="BJ562" s="3"/>
      <c r="BK562" s="3"/>
      <c r="BL562" s="3"/>
      <c r="BM562" s="3"/>
    </row>
    <row r="563" spans="1:65" ht="15">
      <c r="A563"/>
      <c r="J563"/>
      <c r="AA563"/>
      <c r="AB563"/>
      <c r="AC563"/>
      <c r="AD563"/>
      <c r="AE563"/>
      <c r="AF563"/>
      <c r="AG563"/>
      <c r="AH563"/>
      <c r="BI563" s="2"/>
      <c r="BJ563" s="3"/>
      <c r="BK563" s="3"/>
      <c r="BL563" s="3"/>
      <c r="BM563" s="3"/>
    </row>
    <row r="564" spans="1:65" ht="15">
      <c r="A564"/>
      <c r="J564"/>
      <c r="AA564"/>
      <c r="AB564"/>
      <c r="AC564"/>
      <c r="AD564"/>
      <c r="AE564"/>
      <c r="AF564"/>
      <c r="AG564"/>
      <c r="AH564"/>
      <c r="BI564" s="2"/>
      <c r="BJ564" s="3"/>
      <c r="BK564" s="3"/>
      <c r="BL564" s="3"/>
      <c r="BM564" s="3"/>
    </row>
    <row r="565" spans="1:65" ht="15">
      <c r="A565"/>
      <c r="J565"/>
      <c r="AA565"/>
      <c r="AB565"/>
      <c r="AC565"/>
      <c r="AD565"/>
      <c r="AE565"/>
      <c r="AF565"/>
      <c r="AG565"/>
      <c r="AH565"/>
      <c r="BI565" s="2"/>
      <c r="BJ565" s="3"/>
      <c r="BK565" s="3"/>
      <c r="BL565" s="3"/>
      <c r="BM565" s="3"/>
    </row>
    <row r="566" spans="1:65" ht="15">
      <c r="A566"/>
      <c r="J566"/>
      <c r="AA566"/>
      <c r="AB566"/>
      <c r="AC566"/>
      <c r="AD566"/>
      <c r="AE566"/>
      <c r="AF566"/>
      <c r="AG566"/>
      <c r="AH566"/>
      <c r="BI566" s="2"/>
      <c r="BJ566" s="3"/>
      <c r="BK566" s="3"/>
      <c r="BL566" s="3"/>
      <c r="BM566" s="3"/>
    </row>
    <row r="567" spans="1:65" ht="15">
      <c r="A567"/>
      <c r="J567"/>
      <c r="AA567"/>
      <c r="AB567"/>
      <c r="AC567"/>
      <c r="AD567"/>
      <c r="AE567"/>
      <c r="AF567"/>
      <c r="AG567"/>
      <c r="AH567"/>
      <c r="BI567" s="2"/>
      <c r="BJ567" s="3"/>
      <c r="BK567" s="3"/>
      <c r="BL567" s="3"/>
      <c r="BM567" s="3"/>
    </row>
    <row r="568" spans="1:65" ht="15">
      <c r="A568"/>
      <c r="J568"/>
      <c r="AA568"/>
      <c r="AB568"/>
      <c r="AC568"/>
      <c r="AD568"/>
      <c r="AE568"/>
      <c r="AF568"/>
      <c r="AG568"/>
      <c r="AH568"/>
      <c r="BI568" s="2"/>
      <c r="BJ568" s="3"/>
      <c r="BK568" s="3"/>
      <c r="BL568" s="3"/>
      <c r="BM568" s="3"/>
    </row>
    <row r="569" spans="1:65" ht="15">
      <c r="A569"/>
      <c r="J569"/>
      <c r="AA569"/>
      <c r="AB569"/>
      <c r="AC569"/>
      <c r="AD569"/>
      <c r="AE569"/>
      <c r="AF569"/>
      <c r="AG569"/>
      <c r="AH569"/>
      <c r="BI569" s="2"/>
      <c r="BJ569" s="3"/>
      <c r="BK569" s="3"/>
      <c r="BL569" s="3"/>
      <c r="BM569" s="3"/>
    </row>
    <row r="570" spans="1:65" ht="15">
      <c r="A570"/>
      <c r="J570"/>
      <c r="AA570"/>
      <c r="AB570"/>
      <c r="AC570"/>
      <c r="AD570"/>
      <c r="AE570"/>
      <c r="AF570"/>
      <c r="AG570"/>
      <c r="AH570"/>
      <c r="BI570" s="2"/>
      <c r="BJ570" s="3"/>
      <c r="BK570" s="3"/>
      <c r="BL570" s="3"/>
      <c r="BM570" s="3"/>
    </row>
    <row r="571" spans="1:65" ht="15">
      <c r="A571"/>
      <c r="J571"/>
      <c r="AA571"/>
      <c r="AB571"/>
      <c r="AC571"/>
      <c r="AD571"/>
      <c r="AE571"/>
      <c r="AF571"/>
      <c r="AG571"/>
      <c r="AH571"/>
      <c r="BI571" s="2"/>
      <c r="BJ571" s="3"/>
      <c r="BK571" s="3"/>
      <c r="BL571" s="3"/>
      <c r="BM571" s="3"/>
    </row>
    <row r="572" spans="1:65" ht="15">
      <c r="A572"/>
      <c r="J572"/>
      <c r="AA572"/>
      <c r="AB572"/>
      <c r="AC572"/>
      <c r="AD572"/>
      <c r="AE572"/>
      <c r="AF572"/>
      <c r="AG572"/>
      <c r="AH572"/>
      <c r="BI572" s="2"/>
      <c r="BJ572" s="3"/>
      <c r="BK572" s="3"/>
      <c r="BL572" s="3"/>
      <c r="BM572" s="3"/>
    </row>
    <row r="573" spans="1:65" ht="15">
      <c r="A573"/>
      <c r="J573"/>
      <c r="AA573"/>
      <c r="AB573"/>
      <c r="AC573"/>
      <c r="AD573"/>
      <c r="AE573"/>
      <c r="AF573"/>
      <c r="AG573"/>
      <c r="AH573"/>
      <c r="BI573" s="2"/>
      <c r="BJ573" s="3"/>
      <c r="BK573" s="3"/>
      <c r="BL573" s="3"/>
      <c r="BM573" s="3"/>
    </row>
    <row r="574" spans="1:65" ht="15">
      <c r="A574"/>
      <c r="J574"/>
      <c r="AA574"/>
      <c r="AB574"/>
      <c r="AC574"/>
      <c r="AD574"/>
      <c r="AE574"/>
      <c r="AF574"/>
      <c r="AG574"/>
      <c r="AH574"/>
      <c r="BI574" s="2"/>
      <c r="BJ574" s="3"/>
      <c r="BK574" s="3"/>
      <c r="BL574" s="3"/>
      <c r="BM574" s="3"/>
    </row>
    <row r="575" spans="1:65" ht="15">
      <c r="A575"/>
      <c r="J575"/>
      <c r="AA575"/>
      <c r="AB575"/>
      <c r="AC575"/>
      <c r="AD575"/>
      <c r="AE575"/>
      <c r="AF575"/>
      <c r="AG575"/>
      <c r="AH575"/>
      <c r="BI575" s="2"/>
      <c r="BJ575" s="3"/>
      <c r="BK575" s="3"/>
      <c r="BL575" s="3"/>
      <c r="BM575" s="3"/>
    </row>
    <row r="576" spans="1:65" ht="15">
      <c r="A576"/>
      <c r="J576"/>
      <c r="AA576"/>
      <c r="AB576"/>
      <c r="AC576"/>
      <c r="AD576"/>
      <c r="AE576"/>
      <c r="AF576"/>
      <c r="AG576"/>
      <c r="AH576"/>
      <c r="BI576" s="2"/>
      <c r="BJ576" s="3"/>
      <c r="BK576" s="3"/>
      <c r="BL576" s="3"/>
      <c r="BM576" s="3"/>
    </row>
    <row r="577" spans="1:65" ht="15">
      <c r="A577"/>
      <c r="J577"/>
      <c r="AA577"/>
      <c r="AB577"/>
      <c r="AC577"/>
      <c r="AD577"/>
      <c r="AE577"/>
      <c r="AF577"/>
      <c r="AG577"/>
      <c r="AH577"/>
      <c r="BI577" s="2"/>
      <c r="BJ577" s="3"/>
      <c r="BK577" s="3"/>
      <c r="BL577" s="3"/>
      <c r="BM577" s="3"/>
    </row>
    <row r="578" spans="1:65" ht="15">
      <c r="A578"/>
      <c r="J578"/>
      <c r="AA578"/>
      <c r="AB578"/>
      <c r="AC578"/>
      <c r="AD578"/>
      <c r="AE578"/>
      <c r="AF578"/>
      <c r="AG578"/>
      <c r="AH578"/>
      <c r="BI578" s="2"/>
      <c r="BJ578" s="3"/>
      <c r="BK578" s="3"/>
      <c r="BL578" s="3"/>
      <c r="BM578" s="3"/>
    </row>
    <row r="579" spans="1:65" ht="15">
      <c r="A579"/>
      <c r="J579"/>
      <c r="AA579"/>
      <c r="AB579"/>
      <c r="AC579"/>
      <c r="AD579"/>
      <c r="AE579"/>
      <c r="AF579"/>
      <c r="AG579"/>
      <c r="AH579"/>
      <c r="BI579" s="2"/>
      <c r="BJ579" s="3"/>
      <c r="BK579" s="3"/>
      <c r="BL579" s="3"/>
      <c r="BM579" s="3"/>
    </row>
    <row r="580" spans="1:65" ht="15">
      <c r="A580"/>
      <c r="J580"/>
      <c r="AA580"/>
      <c r="AB580"/>
      <c r="AC580"/>
      <c r="AD580"/>
      <c r="AE580"/>
      <c r="AF580"/>
      <c r="AG580"/>
      <c r="AH580"/>
      <c r="BI580" s="2"/>
      <c r="BJ580" s="3"/>
      <c r="BK580" s="3"/>
      <c r="BL580" s="3"/>
      <c r="BM580" s="3"/>
    </row>
    <row r="581" spans="1:65" ht="15">
      <c r="A581"/>
      <c r="J581"/>
      <c r="AA581"/>
      <c r="AB581"/>
      <c r="AC581"/>
      <c r="AD581"/>
      <c r="AE581"/>
      <c r="AF581"/>
      <c r="AG581"/>
      <c r="AH581"/>
      <c r="BI581" s="2"/>
      <c r="BJ581" s="3"/>
      <c r="BK581" s="3"/>
      <c r="BL581" s="3"/>
      <c r="BM581" s="3"/>
    </row>
    <row r="582" spans="1:65" ht="15">
      <c r="A582"/>
      <c r="J582"/>
      <c r="AA582"/>
      <c r="AB582"/>
      <c r="AC582"/>
      <c r="AD582"/>
      <c r="AE582"/>
      <c r="AF582"/>
      <c r="AG582"/>
      <c r="AH582"/>
      <c r="BI582" s="2"/>
      <c r="BJ582" s="3"/>
      <c r="BK582" s="3"/>
      <c r="BL582" s="3"/>
      <c r="BM582" s="3"/>
    </row>
    <row r="583" spans="1:65" ht="15">
      <c r="A583"/>
      <c r="J583"/>
      <c r="AA583"/>
      <c r="AB583"/>
      <c r="AC583"/>
      <c r="AD583"/>
      <c r="AE583"/>
      <c r="AF583"/>
      <c r="AG583"/>
      <c r="AH583"/>
      <c r="BI583" s="2"/>
      <c r="BJ583" s="3"/>
      <c r="BK583" s="3"/>
      <c r="BL583" s="3"/>
      <c r="BM583" s="3"/>
    </row>
    <row r="584" spans="1:65" ht="15">
      <c r="A584"/>
      <c r="J584"/>
      <c r="AA584"/>
      <c r="AB584"/>
      <c r="AC584"/>
      <c r="AD584"/>
      <c r="AE584"/>
      <c r="AF584"/>
      <c r="AG584"/>
      <c r="AH584"/>
      <c r="BI584" s="2"/>
      <c r="BJ584" s="3"/>
      <c r="BK584" s="3"/>
      <c r="BL584" s="3"/>
      <c r="BM584" s="3"/>
    </row>
    <row r="585" spans="1:65" ht="15">
      <c r="A585"/>
      <c r="J585"/>
      <c r="AA585"/>
      <c r="AB585"/>
      <c r="AC585"/>
      <c r="AD585"/>
      <c r="AE585"/>
      <c r="AF585"/>
      <c r="AG585"/>
      <c r="AH585"/>
      <c r="BI585" s="2"/>
      <c r="BJ585" s="3"/>
      <c r="BK585" s="3"/>
      <c r="BL585" s="3"/>
      <c r="BM585" s="3"/>
    </row>
    <row r="586" spans="1:65" ht="15">
      <c r="A586"/>
      <c r="J586"/>
      <c r="AA586"/>
      <c r="AB586"/>
      <c r="AC586"/>
      <c r="AD586"/>
      <c r="AE586"/>
      <c r="AF586"/>
      <c r="AG586"/>
      <c r="AH586"/>
      <c r="BI586" s="2"/>
      <c r="BJ586" s="3"/>
      <c r="BK586" s="3"/>
      <c r="BL586" s="3"/>
      <c r="BM586" s="3"/>
    </row>
    <row r="587" spans="1:65" ht="15">
      <c r="A587"/>
      <c r="J587"/>
      <c r="AA587"/>
      <c r="AB587"/>
      <c r="AC587"/>
      <c r="AD587"/>
      <c r="AE587"/>
      <c r="AF587"/>
      <c r="AG587"/>
      <c r="AH587"/>
      <c r="BI587" s="2"/>
      <c r="BJ587" s="3"/>
      <c r="BK587" s="3"/>
      <c r="BL587" s="3"/>
      <c r="BM587" s="3"/>
    </row>
    <row r="588" spans="1:65" ht="15">
      <c r="A588"/>
      <c r="J588"/>
      <c r="AA588"/>
      <c r="AB588"/>
      <c r="AC588"/>
      <c r="AD588"/>
      <c r="AE588"/>
      <c r="AF588"/>
      <c r="AG588"/>
      <c r="AH588"/>
      <c r="BI588" s="2"/>
      <c r="BJ588" s="3"/>
      <c r="BK588" s="3"/>
      <c r="BL588" s="3"/>
      <c r="BM588" s="3"/>
    </row>
    <row r="589" spans="1:65" ht="15">
      <c r="A589"/>
      <c r="J589"/>
      <c r="AA589"/>
      <c r="AB589"/>
      <c r="AC589"/>
      <c r="AD589"/>
      <c r="AE589"/>
      <c r="AF589"/>
      <c r="AG589"/>
      <c r="AH589"/>
      <c r="BI589" s="2"/>
      <c r="BJ589" s="3"/>
      <c r="BK589" s="3"/>
      <c r="BL589" s="3"/>
      <c r="BM589" s="3"/>
    </row>
    <row r="590" spans="1:65" ht="15">
      <c r="A590"/>
      <c r="J590"/>
      <c r="AA590"/>
      <c r="AB590"/>
      <c r="AC590"/>
      <c r="AD590"/>
      <c r="AE590"/>
      <c r="AF590"/>
      <c r="AG590"/>
      <c r="AH590"/>
      <c r="BI590" s="2"/>
      <c r="BJ590" s="3"/>
      <c r="BK590" s="3"/>
      <c r="BL590" s="3"/>
      <c r="BM590" s="3"/>
    </row>
    <row r="591" spans="1:65" ht="15">
      <c r="A591"/>
      <c r="J591"/>
      <c r="AA591"/>
      <c r="AB591"/>
      <c r="AC591"/>
      <c r="AD591"/>
      <c r="AE591"/>
      <c r="AF591"/>
      <c r="AG591"/>
      <c r="AH591"/>
      <c r="BI591" s="2"/>
      <c r="BJ591" s="3"/>
      <c r="BK591" s="3"/>
      <c r="BL591" s="3"/>
      <c r="BM591" s="3"/>
    </row>
    <row r="592" spans="1:65" ht="15">
      <c r="A592"/>
      <c r="J592"/>
      <c r="AA592"/>
      <c r="AB592"/>
      <c r="AC592"/>
      <c r="AD592"/>
      <c r="AE592"/>
      <c r="AF592"/>
      <c r="AG592"/>
      <c r="AH592"/>
      <c r="BI592" s="2"/>
      <c r="BJ592" s="3"/>
      <c r="BK592" s="3"/>
      <c r="BL592" s="3"/>
      <c r="BM592" s="3"/>
    </row>
    <row r="593" spans="1:65" ht="15">
      <c r="A593"/>
      <c r="J593"/>
      <c r="AA593"/>
      <c r="AB593"/>
      <c r="AC593"/>
      <c r="AD593"/>
      <c r="AE593"/>
      <c r="AF593"/>
      <c r="AG593"/>
      <c r="AH593"/>
      <c r="BI593" s="2"/>
      <c r="BJ593" s="3"/>
      <c r="BK593" s="3"/>
      <c r="BL593" s="3"/>
      <c r="BM593" s="3"/>
    </row>
    <row r="594" spans="1:65" ht="15">
      <c r="A594"/>
      <c r="J594"/>
      <c r="AA594"/>
      <c r="AB594"/>
      <c r="AC594"/>
      <c r="AD594"/>
      <c r="AE594"/>
      <c r="AF594"/>
      <c r="AG594"/>
      <c r="AH594"/>
      <c r="BI594" s="2"/>
      <c r="BJ594" s="3"/>
      <c r="BK594" s="3"/>
      <c r="BL594" s="3"/>
      <c r="BM594" s="3"/>
    </row>
    <row r="595" spans="1:65" ht="15">
      <c r="A595"/>
      <c r="J595"/>
      <c r="AA595"/>
      <c r="AB595"/>
      <c r="AC595"/>
      <c r="AD595"/>
      <c r="AE595"/>
      <c r="AF595"/>
      <c r="AG595"/>
      <c r="AH595"/>
      <c r="BI595" s="2"/>
      <c r="BJ595" s="3"/>
      <c r="BK595" s="3"/>
      <c r="BL595" s="3"/>
      <c r="BM595" s="3"/>
    </row>
    <row r="596" spans="1:65" ht="15">
      <c r="A596"/>
      <c r="J596"/>
      <c r="AA596"/>
      <c r="AB596"/>
      <c r="AC596"/>
      <c r="AD596"/>
      <c r="AE596"/>
      <c r="AF596"/>
      <c r="AG596"/>
      <c r="AH596"/>
      <c r="BI596" s="2"/>
      <c r="BJ596" s="3"/>
      <c r="BK596" s="3"/>
      <c r="BL596" s="3"/>
      <c r="BM596" s="3"/>
    </row>
    <row r="597" spans="1:65" ht="15">
      <c r="A597"/>
      <c r="J597"/>
      <c r="AA597"/>
      <c r="AB597"/>
      <c r="AC597"/>
      <c r="AD597"/>
      <c r="AE597"/>
      <c r="AF597"/>
      <c r="AG597"/>
      <c r="AH597"/>
      <c r="BI597" s="2"/>
      <c r="BJ597" s="3"/>
      <c r="BK597" s="3"/>
      <c r="BL597" s="3"/>
      <c r="BM597" s="3"/>
    </row>
    <row r="598" spans="1:65" ht="15">
      <c r="A598"/>
      <c r="J598"/>
      <c r="AA598"/>
      <c r="AB598"/>
      <c r="AC598"/>
      <c r="AD598"/>
      <c r="AE598"/>
      <c r="AF598"/>
      <c r="AG598"/>
      <c r="AH598"/>
      <c r="BI598" s="2"/>
      <c r="BJ598" s="3"/>
      <c r="BK598" s="3"/>
      <c r="BL598" s="3"/>
      <c r="BM598" s="3"/>
    </row>
    <row r="599" spans="1:65" ht="15">
      <c r="A599"/>
      <c r="J599"/>
      <c r="AA599"/>
      <c r="AB599"/>
      <c r="AC599"/>
      <c r="AD599"/>
      <c r="AE599"/>
      <c r="AF599"/>
      <c r="AG599"/>
      <c r="AH599"/>
      <c r="BI599" s="2"/>
      <c r="BJ599" s="3"/>
      <c r="BK599" s="3"/>
      <c r="BL599" s="3"/>
      <c r="BM599" s="3"/>
    </row>
    <row r="600" spans="1:65" ht="15">
      <c r="A600"/>
      <c r="J600"/>
      <c r="AA600"/>
      <c r="AB600"/>
      <c r="AC600"/>
      <c r="AD600"/>
      <c r="AE600"/>
      <c r="AF600"/>
      <c r="AG600"/>
      <c r="AH600"/>
      <c r="BI600" s="2"/>
      <c r="BJ600" s="3"/>
      <c r="BK600" s="3"/>
      <c r="BL600" s="3"/>
      <c r="BM600" s="3"/>
    </row>
    <row r="601" spans="1:65" ht="15">
      <c r="A601"/>
      <c r="J601"/>
      <c r="AA601"/>
      <c r="AB601"/>
      <c r="AC601"/>
      <c r="AD601"/>
      <c r="AE601"/>
      <c r="AF601"/>
      <c r="AG601"/>
      <c r="AH601"/>
      <c r="BI601" s="2"/>
      <c r="BJ601" s="3"/>
      <c r="BK601" s="3"/>
      <c r="BL601" s="3"/>
      <c r="BM601" s="3"/>
    </row>
    <row r="602" spans="1:65" ht="15">
      <c r="A602"/>
      <c r="J602"/>
      <c r="AA602"/>
      <c r="AB602"/>
      <c r="AC602"/>
      <c r="AD602"/>
      <c r="AE602"/>
      <c r="AF602"/>
      <c r="AG602"/>
      <c r="AH602"/>
      <c r="BI602" s="2"/>
      <c r="BJ602" s="3"/>
      <c r="BK602" s="3"/>
      <c r="BL602" s="3"/>
      <c r="BM602" s="3"/>
    </row>
    <row r="603" spans="1:65" ht="15">
      <c r="A603"/>
      <c r="J603"/>
      <c r="AA603"/>
      <c r="AB603"/>
      <c r="AC603"/>
      <c r="AD603"/>
      <c r="AE603"/>
      <c r="AF603"/>
      <c r="AG603"/>
      <c r="AH603"/>
      <c r="BI603" s="2"/>
      <c r="BJ603" s="3"/>
      <c r="BK603" s="3"/>
      <c r="BL603" s="3"/>
      <c r="BM603" s="3"/>
    </row>
    <row r="604" spans="1:65" ht="15">
      <c r="A604"/>
      <c r="J604"/>
      <c r="AA604"/>
      <c r="AB604"/>
      <c r="AC604"/>
      <c r="AD604"/>
      <c r="AE604"/>
      <c r="AF604"/>
      <c r="AG604"/>
      <c r="AH604"/>
      <c r="BI604" s="2"/>
      <c r="BJ604" s="3"/>
      <c r="BK604" s="3"/>
      <c r="BL604" s="3"/>
      <c r="BM604" s="3"/>
    </row>
    <row r="605" spans="1:65" ht="15">
      <c r="A605"/>
      <c r="J605"/>
      <c r="AA605"/>
      <c r="AB605"/>
      <c r="AC605"/>
      <c r="AD605"/>
      <c r="AE605"/>
      <c r="AF605"/>
      <c r="AG605"/>
      <c r="AH605"/>
      <c r="BI605" s="2"/>
      <c r="BJ605" s="3"/>
      <c r="BK605" s="3"/>
      <c r="BL605" s="3"/>
      <c r="BM605" s="3"/>
    </row>
    <row r="606" spans="1:65" ht="15">
      <c r="A606"/>
      <c r="J606"/>
      <c r="AA606"/>
      <c r="AB606"/>
      <c r="AC606"/>
      <c r="AD606"/>
      <c r="AE606"/>
      <c r="AF606"/>
      <c r="AG606"/>
      <c r="AH606"/>
      <c r="BI606" s="2"/>
      <c r="BJ606" s="3"/>
      <c r="BK606" s="3"/>
      <c r="BL606" s="3"/>
      <c r="BM606" s="3"/>
    </row>
    <row r="607" spans="1:65" ht="15">
      <c r="A607"/>
      <c r="J607"/>
      <c r="AA607"/>
      <c r="AB607"/>
      <c r="AC607"/>
      <c r="AD607"/>
      <c r="AE607"/>
      <c r="AF607"/>
      <c r="AG607"/>
      <c r="AH607"/>
      <c r="BI607" s="2"/>
      <c r="BJ607" s="3"/>
      <c r="BK607" s="3"/>
      <c r="BL607" s="3"/>
      <c r="BM607" s="3"/>
    </row>
    <row r="608" spans="1:65" ht="15">
      <c r="A608"/>
      <c r="J608"/>
      <c r="AA608"/>
      <c r="AB608"/>
      <c r="AC608"/>
      <c r="AD608"/>
      <c r="AE608"/>
      <c r="AF608"/>
      <c r="AG608"/>
      <c r="AH608"/>
      <c r="BI608" s="2"/>
      <c r="BJ608" s="3"/>
      <c r="BK608" s="3"/>
      <c r="BL608" s="3"/>
      <c r="BM6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I3"/>
    <dataValidation allowBlank="1" showErrorMessage="1" sqref="B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1"/>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4.28125" style="0" bestFit="1" customWidth="1"/>
    <col min="35" max="35" width="16.281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342</v>
      </c>
      <c r="Z2" s="52" t="s">
        <v>343</v>
      </c>
      <c r="AA2" s="52" t="s">
        <v>344</v>
      </c>
      <c r="AB2" s="52" t="s">
        <v>345</v>
      </c>
      <c r="AC2" s="52" t="s">
        <v>346</v>
      </c>
      <c r="AD2" s="52" t="s">
        <v>347</v>
      </c>
      <c r="AE2" s="52" t="s">
        <v>348</v>
      </c>
      <c r="AF2" s="52" t="s">
        <v>349</v>
      </c>
      <c r="AG2" s="52" t="s">
        <v>352</v>
      </c>
      <c r="AH2" s="13" t="s">
        <v>407</v>
      </c>
      <c r="AI2" s="13" t="s">
        <v>420</v>
      </c>
    </row>
    <row r="3" spans="1:35" ht="15">
      <c r="A3" s="85" t="s">
        <v>232</v>
      </c>
      <c r="B3" s="66" t="s">
        <v>258</v>
      </c>
      <c r="C3" s="66" t="s">
        <v>56</v>
      </c>
      <c r="D3" s="101"/>
      <c r="E3" s="100"/>
      <c r="F3" s="102" t="s">
        <v>1834</v>
      </c>
      <c r="G3" s="103"/>
      <c r="H3" s="103"/>
      <c r="I3" s="104">
        <v>3</v>
      </c>
      <c r="J3" s="105"/>
      <c r="K3" s="48">
        <v>38</v>
      </c>
      <c r="L3" s="48">
        <v>0</v>
      </c>
      <c r="M3" s="48">
        <v>2</v>
      </c>
      <c r="N3" s="48">
        <v>2</v>
      </c>
      <c r="O3" s="48">
        <v>2</v>
      </c>
      <c r="P3" s="49" t="s">
        <v>1449</v>
      </c>
      <c r="Q3" s="49" t="s">
        <v>1449</v>
      </c>
      <c r="R3" s="48">
        <v>38</v>
      </c>
      <c r="S3" s="48">
        <v>38</v>
      </c>
      <c r="T3" s="48">
        <v>1</v>
      </c>
      <c r="U3" s="48">
        <v>2</v>
      </c>
      <c r="V3" s="48">
        <v>0</v>
      </c>
      <c r="W3" s="49">
        <v>0</v>
      </c>
      <c r="X3" s="49">
        <v>0</v>
      </c>
      <c r="Y3" s="48">
        <v>51</v>
      </c>
      <c r="Z3" s="49">
        <v>3.142329020332717</v>
      </c>
      <c r="AA3" s="48">
        <v>6</v>
      </c>
      <c r="AB3" s="49">
        <v>0.36968576709796674</v>
      </c>
      <c r="AC3" s="48">
        <v>0</v>
      </c>
      <c r="AD3" s="49">
        <v>0</v>
      </c>
      <c r="AE3" s="48">
        <v>1566</v>
      </c>
      <c r="AF3" s="49">
        <v>96.48798521256931</v>
      </c>
      <c r="AG3" s="48">
        <v>1623</v>
      </c>
      <c r="AH3" s="112" t="s">
        <v>1782</v>
      </c>
      <c r="AI3" s="112" t="s">
        <v>1821</v>
      </c>
    </row>
    <row r="4" spans="1:35" ht="15">
      <c r="A4" s="135" t="s">
        <v>233</v>
      </c>
      <c r="B4" s="66" t="s">
        <v>259</v>
      </c>
      <c r="C4" s="66" t="s">
        <v>56</v>
      </c>
      <c r="D4" s="107"/>
      <c r="E4" s="106"/>
      <c r="F4" s="108" t="s">
        <v>1835</v>
      </c>
      <c r="G4" s="109"/>
      <c r="H4" s="109"/>
      <c r="I4" s="110">
        <v>4</v>
      </c>
      <c r="J4" s="111"/>
      <c r="K4" s="48">
        <v>33</v>
      </c>
      <c r="L4" s="48">
        <v>58</v>
      </c>
      <c r="M4" s="48">
        <v>2</v>
      </c>
      <c r="N4" s="48">
        <v>60</v>
      </c>
      <c r="O4" s="48">
        <v>5</v>
      </c>
      <c r="P4" s="49">
        <v>0.5882352941176471</v>
      </c>
      <c r="Q4" s="49">
        <v>0.7407407407407407</v>
      </c>
      <c r="R4" s="48">
        <v>1</v>
      </c>
      <c r="S4" s="48">
        <v>0</v>
      </c>
      <c r="T4" s="48">
        <v>33</v>
      </c>
      <c r="U4" s="48">
        <v>60</v>
      </c>
      <c r="V4" s="48">
        <v>4</v>
      </c>
      <c r="W4" s="49">
        <v>2.251607</v>
      </c>
      <c r="X4" s="49">
        <v>0.05113636363636364</v>
      </c>
      <c r="Y4" s="48">
        <v>10</v>
      </c>
      <c r="Z4" s="49">
        <v>4.504504504504505</v>
      </c>
      <c r="AA4" s="48">
        <v>0</v>
      </c>
      <c r="AB4" s="49">
        <v>0</v>
      </c>
      <c r="AC4" s="48">
        <v>0</v>
      </c>
      <c r="AD4" s="49">
        <v>0</v>
      </c>
      <c r="AE4" s="48">
        <v>212</v>
      </c>
      <c r="AF4" s="49">
        <v>95.49549549549549</v>
      </c>
      <c r="AG4" s="48">
        <v>222</v>
      </c>
      <c r="AH4" s="112" t="s">
        <v>1783</v>
      </c>
      <c r="AI4" s="112" t="s">
        <v>1822</v>
      </c>
    </row>
    <row r="5" spans="1:35" ht="15">
      <c r="A5" s="135" t="s">
        <v>234</v>
      </c>
      <c r="B5" s="66" t="s">
        <v>260</v>
      </c>
      <c r="C5" s="66" t="s">
        <v>56</v>
      </c>
      <c r="D5" s="107"/>
      <c r="E5" s="106"/>
      <c r="F5" s="108" t="s">
        <v>1836</v>
      </c>
      <c r="G5" s="109"/>
      <c r="H5" s="109"/>
      <c r="I5" s="110">
        <v>5</v>
      </c>
      <c r="J5" s="111"/>
      <c r="K5" s="48">
        <v>20</v>
      </c>
      <c r="L5" s="48">
        <v>33</v>
      </c>
      <c r="M5" s="48">
        <v>20</v>
      </c>
      <c r="N5" s="48">
        <v>53</v>
      </c>
      <c r="O5" s="48">
        <v>6</v>
      </c>
      <c r="P5" s="49">
        <v>0.95</v>
      </c>
      <c r="Q5" s="49">
        <v>0.9743589743589743</v>
      </c>
      <c r="R5" s="48">
        <v>1</v>
      </c>
      <c r="S5" s="48">
        <v>0</v>
      </c>
      <c r="T5" s="48">
        <v>20</v>
      </c>
      <c r="U5" s="48">
        <v>53</v>
      </c>
      <c r="V5" s="48">
        <v>4</v>
      </c>
      <c r="W5" s="49">
        <v>2.48</v>
      </c>
      <c r="X5" s="49">
        <v>0.10263157894736842</v>
      </c>
      <c r="Y5" s="48">
        <v>24</v>
      </c>
      <c r="Z5" s="49">
        <v>6.896551724137931</v>
      </c>
      <c r="AA5" s="48">
        <v>0</v>
      </c>
      <c r="AB5" s="49">
        <v>0</v>
      </c>
      <c r="AC5" s="48">
        <v>0</v>
      </c>
      <c r="AD5" s="49">
        <v>0</v>
      </c>
      <c r="AE5" s="48">
        <v>324</v>
      </c>
      <c r="AF5" s="49">
        <v>93.10344827586206</v>
      </c>
      <c r="AG5" s="48">
        <v>348</v>
      </c>
      <c r="AH5" s="112" t="s">
        <v>1784</v>
      </c>
      <c r="AI5" s="112" t="s">
        <v>1823</v>
      </c>
    </row>
    <row r="6" spans="1:35" ht="15">
      <c r="A6" s="135" t="s">
        <v>235</v>
      </c>
      <c r="B6" s="66" t="s">
        <v>261</v>
      </c>
      <c r="C6" s="66" t="s">
        <v>56</v>
      </c>
      <c r="D6" s="107"/>
      <c r="E6" s="106"/>
      <c r="F6" s="108" t="s">
        <v>1837</v>
      </c>
      <c r="G6" s="109"/>
      <c r="H6" s="109"/>
      <c r="I6" s="110">
        <v>6</v>
      </c>
      <c r="J6" s="111"/>
      <c r="K6" s="48">
        <v>11</v>
      </c>
      <c r="L6" s="48">
        <v>18</v>
      </c>
      <c r="M6" s="48">
        <v>0</v>
      </c>
      <c r="N6" s="48">
        <v>18</v>
      </c>
      <c r="O6" s="48">
        <v>1</v>
      </c>
      <c r="P6" s="49">
        <v>0.7</v>
      </c>
      <c r="Q6" s="49">
        <v>0.8235294117647058</v>
      </c>
      <c r="R6" s="48">
        <v>1</v>
      </c>
      <c r="S6" s="48">
        <v>0</v>
      </c>
      <c r="T6" s="48">
        <v>11</v>
      </c>
      <c r="U6" s="48">
        <v>18</v>
      </c>
      <c r="V6" s="48">
        <v>4</v>
      </c>
      <c r="W6" s="49">
        <v>1.917355</v>
      </c>
      <c r="X6" s="49">
        <v>0.15454545454545454</v>
      </c>
      <c r="Y6" s="48">
        <v>8</v>
      </c>
      <c r="Z6" s="49">
        <v>7.619047619047619</v>
      </c>
      <c r="AA6" s="48">
        <v>1</v>
      </c>
      <c r="AB6" s="49">
        <v>0.9523809523809523</v>
      </c>
      <c r="AC6" s="48">
        <v>0</v>
      </c>
      <c r="AD6" s="49">
        <v>0</v>
      </c>
      <c r="AE6" s="48">
        <v>96</v>
      </c>
      <c r="AF6" s="49">
        <v>91.42857142857143</v>
      </c>
      <c r="AG6" s="48">
        <v>105</v>
      </c>
      <c r="AH6" s="112" t="s">
        <v>1785</v>
      </c>
      <c r="AI6" s="112" t="s">
        <v>408</v>
      </c>
    </row>
    <row r="7" spans="1:35" ht="15">
      <c r="A7" s="135" t="s">
        <v>236</v>
      </c>
      <c r="B7" s="66" t="s">
        <v>262</v>
      </c>
      <c r="C7" s="66" t="s">
        <v>56</v>
      </c>
      <c r="D7" s="107"/>
      <c r="E7" s="106"/>
      <c r="F7" s="108" t="s">
        <v>1838</v>
      </c>
      <c r="G7" s="109"/>
      <c r="H7" s="109"/>
      <c r="I7" s="110">
        <v>7</v>
      </c>
      <c r="J7" s="111"/>
      <c r="K7" s="48">
        <v>10</v>
      </c>
      <c r="L7" s="48">
        <v>13</v>
      </c>
      <c r="M7" s="48">
        <v>10</v>
      </c>
      <c r="N7" s="48">
        <v>23</v>
      </c>
      <c r="O7" s="48">
        <v>4</v>
      </c>
      <c r="P7" s="49">
        <v>0.5</v>
      </c>
      <c r="Q7" s="49">
        <v>0.6666666666666666</v>
      </c>
      <c r="R7" s="48">
        <v>1</v>
      </c>
      <c r="S7" s="48">
        <v>0</v>
      </c>
      <c r="T7" s="48">
        <v>10</v>
      </c>
      <c r="U7" s="48">
        <v>23</v>
      </c>
      <c r="V7" s="48">
        <v>4</v>
      </c>
      <c r="W7" s="49">
        <v>1.88</v>
      </c>
      <c r="X7" s="49">
        <v>0.16666666666666666</v>
      </c>
      <c r="Y7" s="48">
        <v>2</v>
      </c>
      <c r="Z7" s="49">
        <v>2.4096385542168677</v>
      </c>
      <c r="AA7" s="48">
        <v>0</v>
      </c>
      <c r="AB7" s="49">
        <v>0</v>
      </c>
      <c r="AC7" s="48">
        <v>0</v>
      </c>
      <c r="AD7" s="49">
        <v>0</v>
      </c>
      <c r="AE7" s="48">
        <v>81</v>
      </c>
      <c r="AF7" s="49">
        <v>97.59036144578313</v>
      </c>
      <c r="AG7" s="48">
        <v>83</v>
      </c>
      <c r="AH7" s="112" t="s">
        <v>1786</v>
      </c>
      <c r="AI7" s="112" t="s">
        <v>1801</v>
      </c>
    </row>
    <row r="8" spans="1:35" ht="15">
      <c r="A8" s="135" t="s">
        <v>237</v>
      </c>
      <c r="B8" s="66" t="s">
        <v>263</v>
      </c>
      <c r="C8" s="66" t="s">
        <v>56</v>
      </c>
      <c r="D8" s="107"/>
      <c r="E8" s="106"/>
      <c r="F8" s="108" t="s">
        <v>1839</v>
      </c>
      <c r="G8" s="109"/>
      <c r="H8" s="109"/>
      <c r="I8" s="110">
        <v>8</v>
      </c>
      <c r="J8" s="111"/>
      <c r="K8" s="48">
        <v>9</v>
      </c>
      <c r="L8" s="48">
        <v>16</v>
      </c>
      <c r="M8" s="48">
        <v>2</v>
      </c>
      <c r="N8" s="48">
        <v>18</v>
      </c>
      <c r="O8" s="48">
        <v>3</v>
      </c>
      <c r="P8" s="49">
        <v>0.875</v>
      </c>
      <c r="Q8" s="49">
        <v>0.9333333333333333</v>
      </c>
      <c r="R8" s="48">
        <v>1</v>
      </c>
      <c r="S8" s="48">
        <v>0</v>
      </c>
      <c r="T8" s="48">
        <v>9</v>
      </c>
      <c r="U8" s="48">
        <v>18</v>
      </c>
      <c r="V8" s="48">
        <v>3</v>
      </c>
      <c r="W8" s="49">
        <v>1.728395</v>
      </c>
      <c r="X8" s="49">
        <v>0.20833333333333334</v>
      </c>
      <c r="Y8" s="48">
        <v>6</v>
      </c>
      <c r="Z8" s="49">
        <v>3.225806451612903</v>
      </c>
      <c r="AA8" s="48">
        <v>0</v>
      </c>
      <c r="AB8" s="49">
        <v>0</v>
      </c>
      <c r="AC8" s="48">
        <v>0</v>
      </c>
      <c r="AD8" s="49">
        <v>0</v>
      </c>
      <c r="AE8" s="48">
        <v>180</v>
      </c>
      <c r="AF8" s="49">
        <v>96.7741935483871</v>
      </c>
      <c r="AG8" s="48">
        <v>186</v>
      </c>
      <c r="AH8" s="112" t="s">
        <v>1787</v>
      </c>
      <c r="AI8" s="112" t="s">
        <v>1801</v>
      </c>
    </row>
    <row r="9" spans="1:35" ht="15">
      <c r="A9" s="135" t="s">
        <v>238</v>
      </c>
      <c r="B9" s="66" t="s">
        <v>264</v>
      </c>
      <c r="C9" s="66" t="s">
        <v>56</v>
      </c>
      <c r="D9" s="107"/>
      <c r="E9" s="106"/>
      <c r="F9" s="108" t="s">
        <v>1840</v>
      </c>
      <c r="G9" s="109"/>
      <c r="H9" s="109"/>
      <c r="I9" s="110">
        <v>9</v>
      </c>
      <c r="J9" s="111"/>
      <c r="K9" s="48">
        <v>7</v>
      </c>
      <c r="L9" s="48">
        <v>12</v>
      </c>
      <c r="M9" s="48">
        <v>0</v>
      </c>
      <c r="N9" s="48">
        <v>12</v>
      </c>
      <c r="O9" s="48">
        <v>1</v>
      </c>
      <c r="P9" s="49">
        <v>0.8333333333333334</v>
      </c>
      <c r="Q9" s="49">
        <v>0.9090909090909091</v>
      </c>
      <c r="R9" s="48">
        <v>1</v>
      </c>
      <c r="S9" s="48">
        <v>0</v>
      </c>
      <c r="T9" s="48">
        <v>7</v>
      </c>
      <c r="U9" s="48">
        <v>12</v>
      </c>
      <c r="V9" s="48">
        <v>3</v>
      </c>
      <c r="W9" s="49">
        <v>1.632653</v>
      </c>
      <c r="X9" s="49">
        <v>0.2619047619047619</v>
      </c>
      <c r="Y9" s="48">
        <v>3</v>
      </c>
      <c r="Z9" s="49">
        <v>1.4285714285714286</v>
      </c>
      <c r="AA9" s="48">
        <v>1</v>
      </c>
      <c r="AB9" s="49">
        <v>0.47619047619047616</v>
      </c>
      <c r="AC9" s="48">
        <v>0</v>
      </c>
      <c r="AD9" s="49">
        <v>0</v>
      </c>
      <c r="AE9" s="48">
        <v>206</v>
      </c>
      <c r="AF9" s="49">
        <v>98.0952380952381</v>
      </c>
      <c r="AG9" s="48">
        <v>210</v>
      </c>
      <c r="AH9" s="112" t="s">
        <v>1788</v>
      </c>
      <c r="AI9" s="112" t="s">
        <v>1824</v>
      </c>
    </row>
    <row r="10" spans="1:35" ht="14.25" customHeight="1">
      <c r="A10" s="135" t="s">
        <v>239</v>
      </c>
      <c r="B10" s="66" t="s">
        <v>265</v>
      </c>
      <c r="C10" s="66" t="s">
        <v>56</v>
      </c>
      <c r="D10" s="107"/>
      <c r="E10" s="106"/>
      <c r="F10" s="108" t="s">
        <v>1841</v>
      </c>
      <c r="G10" s="109"/>
      <c r="H10" s="109"/>
      <c r="I10" s="110">
        <v>10</v>
      </c>
      <c r="J10" s="111"/>
      <c r="K10" s="48">
        <v>6</v>
      </c>
      <c r="L10" s="48">
        <v>10</v>
      </c>
      <c r="M10" s="48">
        <v>0</v>
      </c>
      <c r="N10" s="48">
        <v>10</v>
      </c>
      <c r="O10" s="48">
        <v>0</v>
      </c>
      <c r="P10" s="49">
        <v>1</v>
      </c>
      <c r="Q10" s="49">
        <v>1</v>
      </c>
      <c r="R10" s="48">
        <v>1</v>
      </c>
      <c r="S10" s="48">
        <v>0</v>
      </c>
      <c r="T10" s="48">
        <v>6</v>
      </c>
      <c r="U10" s="48">
        <v>10</v>
      </c>
      <c r="V10" s="48">
        <v>4</v>
      </c>
      <c r="W10" s="49">
        <v>1.777778</v>
      </c>
      <c r="X10" s="49">
        <v>0.3333333333333333</v>
      </c>
      <c r="Y10" s="48">
        <v>11</v>
      </c>
      <c r="Z10" s="49">
        <v>7.333333333333333</v>
      </c>
      <c r="AA10" s="48">
        <v>0</v>
      </c>
      <c r="AB10" s="49">
        <v>0</v>
      </c>
      <c r="AC10" s="48">
        <v>0</v>
      </c>
      <c r="AD10" s="49">
        <v>0</v>
      </c>
      <c r="AE10" s="48">
        <v>139</v>
      </c>
      <c r="AF10" s="49">
        <v>92.66666666666667</v>
      </c>
      <c r="AG10" s="48">
        <v>150</v>
      </c>
      <c r="AH10" s="112" t="s">
        <v>1789</v>
      </c>
      <c r="AI10" s="112" t="s">
        <v>1825</v>
      </c>
    </row>
    <row r="11" spans="1:35" ht="15">
      <c r="A11" s="135" t="s">
        <v>240</v>
      </c>
      <c r="B11" s="66" t="s">
        <v>266</v>
      </c>
      <c r="C11" s="66" t="s">
        <v>56</v>
      </c>
      <c r="D11" s="107"/>
      <c r="E11" s="106"/>
      <c r="F11" s="108" t="s">
        <v>1842</v>
      </c>
      <c r="G11" s="109"/>
      <c r="H11" s="109"/>
      <c r="I11" s="110">
        <v>11</v>
      </c>
      <c r="J11" s="111"/>
      <c r="K11" s="48">
        <v>6</v>
      </c>
      <c r="L11" s="48">
        <v>9</v>
      </c>
      <c r="M11" s="48">
        <v>4</v>
      </c>
      <c r="N11" s="48">
        <v>13</v>
      </c>
      <c r="O11" s="48">
        <v>1</v>
      </c>
      <c r="P11" s="49">
        <v>1</v>
      </c>
      <c r="Q11" s="49">
        <v>1</v>
      </c>
      <c r="R11" s="48">
        <v>1</v>
      </c>
      <c r="S11" s="48">
        <v>0</v>
      </c>
      <c r="T11" s="48">
        <v>6</v>
      </c>
      <c r="U11" s="48">
        <v>13</v>
      </c>
      <c r="V11" s="48">
        <v>2</v>
      </c>
      <c r="W11" s="49">
        <v>1.388889</v>
      </c>
      <c r="X11" s="49">
        <v>0.3333333333333333</v>
      </c>
      <c r="Y11" s="48">
        <v>10</v>
      </c>
      <c r="Z11" s="49">
        <v>10</v>
      </c>
      <c r="AA11" s="48">
        <v>0</v>
      </c>
      <c r="AB11" s="49">
        <v>0</v>
      </c>
      <c r="AC11" s="48">
        <v>0</v>
      </c>
      <c r="AD11" s="49">
        <v>0</v>
      </c>
      <c r="AE11" s="48">
        <v>90</v>
      </c>
      <c r="AF11" s="49">
        <v>90</v>
      </c>
      <c r="AG11" s="48">
        <v>100</v>
      </c>
      <c r="AH11" s="112" t="s">
        <v>1790</v>
      </c>
      <c r="AI11" s="112" t="s">
        <v>1826</v>
      </c>
    </row>
    <row r="12" spans="1:35" ht="15">
      <c r="A12" s="135" t="s">
        <v>241</v>
      </c>
      <c r="B12" s="66" t="s">
        <v>267</v>
      </c>
      <c r="C12" s="66" t="s">
        <v>56</v>
      </c>
      <c r="D12" s="107"/>
      <c r="E12" s="106"/>
      <c r="F12" s="108" t="s">
        <v>1843</v>
      </c>
      <c r="G12" s="109"/>
      <c r="H12" s="109"/>
      <c r="I12" s="110">
        <v>12</v>
      </c>
      <c r="J12" s="111"/>
      <c r="K12" s="48">
        <v>6</v>
      </c>
      <c r="L12" s="48">
        <v>9</v>
      </c>
      <c r="M12" s="48">
        <v>6</v>
      </c>
      <c r="N12" s="48">
        <v>15</v>
      </c>
      <c r="O12" s="48">
        <v>1</v>
      </c>
      <c r="P12" s="49">
        <v>1</v>
      </c>
      <c r="Q12" s="49">
        <v>1</v>
      </c>
      <c r="R12" s="48">
        <v>1</v>
      </c>
      <c r="S12" s="48">
        <v>0</v>
      </c>
      <c r="T12" s="48">
        <v>6</v>
      </c>
      <c r="U12" s="48">
        <v>15</v>
      </c>
      <c r="V12" s="48">
        <v>2</v>
      </c>
      <c r="W12" s="49">
        <v>1.388889</v>
      </c>
      <c r="X12" s="49">
        <v>0.3333333333333333</v>
      </c>
      <c r="Y12" s="48">
        <v>7</v>
      </c>
      <c r="Z12" s="49">
        <v>5.833333333333333</v>
      </c>
      <c r="AA12" s="48">
        <v>0</v>
      </c>
      <c r="AB12" s="49">
        <v>0</v>
      </c>
      <c r="AC12" s="48">
        <v>0</v>
      </c>
      <c r="AD12" s="49">
        <v>0</v>
      </c>
      <c r="AE12" s="48">
        <v>113</v>
      </c>
      <c r="AF12" s="49">
        <v>94.16666666666667</v>
      </c>
      <c r="AG12" s="48">
        <v>120</v>
      </c>
      <c r="AH12" s="112" t="s">
        <v>1791</v>
      </c>
      <c r="AI12" s="112" t="s">
        <v>1827</v>
      </c>
    </row>
    <row r="13" spans="1:35" ht="15">
      <c r="A13" s="135" t="s">
        <v>242</v>
      </c>
      <c r="B13" s="66" t="s">
        <v>268</v>
      </c>
      <c r="C13" s="66" t="s">
        <v>56</v>
      </c>
      <c r="D13" s="107"/>
      <c r="E13" s="106"/>
      <c r="F13" s="108" t="s">
        <v>242</v>
      </c>
      <c r="G13" s="109"/>
      <c r="H13" s="109"/>
      <c r="I13" s="110">
        <v>13</v>
      </c>
      <c r="J13" s="111"/>
      <c r="K13" s="48">
        <v>6</v>
      </c>
      <c r="L13" s="48">
        <v>4</v>
      </c>
      <c r="M13" s="48">
        <v>5</v>
      </c>
      <c r="N13" s="48">
        <v>9</v>
      </c>
      <c r="O13" s="48">
        <v>3</v>
      </c>
      <c r="P13" s="49">
        <v>0</v>
      </c>
      <c r="Q13" s="49">
        <v>0</v>
      </c>
      <c r="R13" s="48">
        <v>1</v>
      </c>
      <c r="S13" s="48">
        <v>0</v>
      </c>
      <c r="T13" s="48">
        <v>6</v>
      </c>
      <c r="U13" s="48">
        <v>9</v>
      </c>
      <c r="V13" s="48">
        <v>3</v>
      </c>
      <c r="W13" s="49">
        <v>1.555556</v>
      </c>
      <c r="X13" s="49">
        <v>0.16666666666666666</v>
      </c>
      <c r="Y13" s="48">
        <v>0</v>
      </c>
      <c r="Z13" s="49">
        <v>0</v>
      </c>
      <c r="AA13" s="48">
        <v>0</v>
      </c>
      <c r="AB13" s="49">
        <v>0</v>
      </c>
      <c r="AC13" s="48">
        <v>0</v>
      </c>
      <c r="AD13" s="49">
        <v>0</v>
      </c>
      <c r="AE13" s="48">
        <v>0</v>
      </c>
      <c r="AF13" s="49">
        <v>0</v>
      </c>
      <c r="AG13" s="48">
        <v>0</v>
      </c>
      <c r="AH13" s="112" t="s">
        <v>408</v>
      </c>
      <c r="AI13" s="112" t="s">
        <v>408</v>
      </c>
    </row>
    <row r="14" spans="1:35" ht="15">
      <c r="A14" s="135" t="s">
        <v>243</v>
      </c>
      <c r="B14" s="66" t="s">
        <v>269</v>
      </c>
      <c r="C14" s="66" t="s">
        <v>56</v>
      </c>
      <c r="D14" s="107"/>
      <c r="E14" s="106"/>
      <c r="F14" s="108" t="s">
        <v>243</v>
      </c>
      <c r="G14" s="109"/>
      <c r="H14" s="109"/>
      <c r="I14" s="110">
        <v>14</v>
      </c>
      <c r="J14" s="111"/>
      <c r="K14" s="48">
        <v>6</v>
      </c>
      <c r="L14" s="48">
        <v>5</v>
      </c>
      <c r="M14" s="48">
        <v>2</v>
      </c>
      <c r="N14" s="48">
        <v>7</v>
      </c>
      <c r="O14" s="48">
        <v>1</v>
      </c>
      <c r="P14" s="49">
        <v>0</v>
      </c>
      <c r="Q14" s="49">
        <v>0</v>
      </c>
      <c r="R14" s="48">
        <v>1</v>
      </c>
      <c r="S14" s="48">
        <v>0</v>
      </c>
      <c r="T14" s="48">
        <v>6</v>
      </c>
      <c r="U14" s="48">
        <v>7</v>
      </c>
      <c r="V14" s="48">
        <v>3</v>
      </c>
      <c r="W14" s="49">
        <v>1.555556</v>
      </c>
      <c r="X14" s="49">
        <v>0.16666666666666666</v>
      </c>
      <c r="Y14" s="48">
        <v>2</v>
      </c>
      <c r="Z14" s="49">
        <v>22.22222222222222</v>
      </c>
      <c r="AA14" s="48">
        <v>0</v>
      </c>
      <c r="AB14" s="49">
        <v>0</v>
      </c>
      <c r="AC14" s="48">
        <v>0</v>
      </c>
      <c r="AD14" s="49">
        <v>0</v>
      </c>
      <c r="AE14" s="48">
        <v>7</v>
      </c>
      <c r="AF14" s="49">
        <v>77.77777777777777</v>
      </c>
      <c r="AG14" s="48">
        <v>9</v>
      </c>
      <c r="AH14" s="112" t="s">
        <v>408</v>
      </c>
      <c r="AI14" s="112" t="s">
        <v>408</v>
      </c>
    </row>
    <row r="15" spans="1:35" ht="15">
      <c r="A15" s="135" t="s">
        <v>244</v>
      </c>
      <c r="B15" s="66" t="s">
        <v>258</v>
      </c>
      <c r="C15" s="66" t="s">
        <v>59</v>
      </c>
      <c r="D15" s="107"/>
      <c r="E15" s="106"/>
      <c r="F15" s="108" t="s">
        <v>1844</v>
      </c>
      <c r="G15" s="109"/>
      <c r="H15" s="109"/>
      <c r="I15" s="110">
        <v>15</v>
      </c>
      <c r="J15" s="111"/>
      <c r="K15" s="48">
        <v>5</v>
      </c>
      <c r="L15" s="48">
        <v>6</v>
      </c>
      <c r="M15" s="48">
        <v>0</v>
      </c>
      <c r="N15" s="48">
        <v>6</v>
      </c>
      <c r="O15" s="48">
        <v>0</v>
      </c>
      <c r="P15" s="49">
        <v>0.5</v>
      </c>
      <c r="Q15" s="49">
        <v>0.6666666666666666</v>
      </c>
      <c r="R15" s="48">
        <v>1</v>
      </c>
      <c r="S15" s="48">
        <v>0</v>
      </c>
      <c r="T15" s="48">
        <v>5</v>
      </c>
      <c r="U15" s="48">
        <v>6</v>
      </c>
      <c r="V15" s="48">
        <v>3</v>
      </c>
      <c r="W15" s="49">
        <v>1.44</v>
      </c>
      <c r="X15" s="49">
        <v>0.3</v>
      </c>
      <c r="Y15" s="48">
        <v>4</v>
      </c>
      <c r="Z15" s="49">
        <v>3.6363636363636362</v>
      </c>
      <c r="AA15" s="48">
        <v>2</v>
      </c>
      <c r="AB15" s="49">
        <v>1.8181818181818181</v>
      </c>
      <c r="AC15" s="48">
        <v>0</v>
      </c>
      <c r="AD15" s="49">
        <v>0</v>
      </c>
      <c r="AE15" s="48">
        <v>104</v>
      </c>
      <c r="AF15" s="49">
        <v>94.54545454545455</v>
      </c>
      <c r="AG15" s="48">
        <v>110</v>
      </c>
      <c r="AH15" s="112" t="s">
        <v>1792</v>
      </c>
      <c r="AI15" s="112" t="s">
        <v>1828</v>
      </c>
    </row>
    <row r="16" spans="1:35" ht="15">
      <c r="A16" s="135" t="s">
        <v>245</v>
      </c>
      <c r="B16" s="66" t="s">
        <v>259</v>
      </c>
      <c r="C16" s="66" t="s">
        <v>59</v>
      </c>
      <c r="D16" s="107"/>
      <c r="E16" s="106"/>
      <c r="F16" s="108" t="s">
        <v>245</v>
      </c>
      <c r="G16" s="109"/>
      <c r="H16" s="109"/>
      <c r="I16" s="110">
        <v>16</v>
      </c>
      <c r="J16" s="111"/>
      <c r="K16" s="48">
        <v>4</v>
      </c>
      <c r="L16" s="48">
        <v>6</v>
      </c>
      <c r="M16" s="48">
        <v>0</v>
      </c>
      <c r="N16" s="48">
        <v>6</v>
      </c>
      <c r="O16" s="48">
        <v>0</v>
      </c>
      <c r="P16" s="49">
        <v>1</v>
      </c>
      <c r="Q16" s="49">
        <v>1</v>
      </c>
      <c r="R16" s="48">
        <v>1</v>
      </c>
      <c r="S16" s="48">
        <v>0</v>
      </c>
      <c r="T16" s="48">
        <v>4</v>
      </c>
      <c r="U16" s="48">
        <v>6</v>
      </c>
      <c r="V16" s="48">
        <v>2</v>
      </c>
      <c r="W16" s="49">
        <v>1.125</v>
      </c>
      <c r="X16" s="49">
        <v>0.5</v>
      </c>
      <c r="Y16" s="48">
        <v>0</v>
      </c>
      <c r="Z16" s="49">
        <v>0</v>
      </c>
      <c r="AA16" s="48">
        <v>0</v>
      </c>
      <c r="AB16" s="49">
        <v>0</v>
      </c>
      <c r="AC16" s="48">
        <v>0</v>
      </c>
      <c r="AD16" s="49">
        <v>0</v>
      </c>
      <c r="AE16" s="48">
        <v>0</v>
      </c>
      <c r="AF16" s="49">
        <v>0</v>
      </c>
      <c r="AG16" s="48">
        <v>0</v>
      </c>
      <c r="AH16" s="112" t="s">
        <v>408</v>
      </c>
      <c r="AI16" s="112" t="s">
        <v>408</v>
      </c>
    </row>
    <row r="17" spans="1:35" ht="15">
      <c r="A17" s="135" t="s">
        <v>246</v>
      </c>
      <c r="B17" s="66" t="s">
        <v>260</v>
      </c>
      <c r="C17" s="66" t="s">
        <v>59</v>
      </c>
      <c r="D17" s="107"/>
      <c r="E17" s="106"/>
      <c r="F17" s="108" t="s">
        <v>1845</v>
      </c>
      <c r="G17" s="109"/>
      <c r="H17" s="109"/>
      <c r="I17" s="110">
        <v>17</v>
      </c>
      <c r="J17" s="111"/>
      <c r="K17" s="48">
        <v>4</v>
      </c>
      <c r="L17" s="48">
        <v>6</v>
      </c>
      <c r="M17" s="48">
        <v>0</v>
      </c>
      <c r="N17" s="48">
        <v>6</v>
      </c>
      <c r="O17" s="48">
        <v>0</v>
      </c>
      <c r="P17" s="49">
        <v>1</v>
      </c>
      <c r="Q17" s="49">
        <v>1</v>
      </c>
      <c r="R17" s="48">
        <v>1</v>
      </c>
      <c r="S17" s="48">
        <v>0</v>
      </c>
      <c r="T17" s="48">
        <v>4</v>
      </c>
      <c r="U17" s="48">
        <v>6</v>
      </c>
      <c r="V17" s="48">
        <v>2</v>
      </c>
      <c r="W17" s="49">
        <v>1.125</v>
      </c>
      <c r="X17" s="49">
        <v>0.5</v>
      </c>
      <c r="Y17" s="48">
        <v>2</v>
      </c>
      <c r="Z17" s="49">
        <v>2.3529411764705883</v>
      </c>
      <c r="AA17" s="48">
        <v>1</v>
      </c>
      <c r="AB17" s="49">
        <v>1.1764705882352942</v>
      </c>
      <c r="AC17" s="48">
        <v>0</v>
      </c>
      <c r="AD17" s="49">
        <v>0</v>
      </c>
      <c r="AE17" s="48">
        <v>82</v>
      </c>
      <c r="AF17" s="49">
        <v>96.47058823529412</v>
      </c>
      <c r="AG17" s="48">
        <v>85</v>
      </c>
      <c r="AH17" s="112" t="s">
        <v>1793</v>
      </c>
      <c r="AI17" s="112" t="s">
        <v>1829</v>
      </c>
    </row>
    <row r="18" spans="1:35" ht="15">
      <c r="A18" s="135" t="s">
        <v>247</v>
      </c>
      <c r="B18" s="66" t="s">
        <v>261</v>
      </c>
      <c r="C18" s="66" t="s">
        <v>59</v>
      </c>
      <c r="D18" s="107"/>
      <c r="E18" s="106"/>
      <c r="F18" s="108" t="s">
        <v>1846</v>
      </c>
      <c r="G18" s="109"/>
      <c r="H18" s="109"/>
      <c r="I18" s="110">
        <v>18</v>
      </c>
      <c r="J18" s="111"/>
      <c r="K18" s="48">
        <v>4</v>
      </c>
      <c r="L18" s="48">
        <v>7</v>
      </c>
      <c r="M18" s="48">
        <v>0</v>
      </c>
      <c r="N18" s="48">
        <v>7</v>
      </c>
      <c r="O18" s="48">
        <v>1</v>
      </c>
      <c r="P18" s="49">
        <v>1</v>
      </c>
      <c r="Q18" s="49">
        <v>1</v>
      </c>
      <c r="R18" s="48">
        <v>1</v>
      </c>
      <c r="S18" s="48">
        <v>0</v>
      </c>
      <c r="T18" s="48">
        <v>4</v>
      </c>
      <c r="U18" s="48">
        <v>7</v>
      </c>
      <c r="V18" s="48">
        <v>2</v>
      </c>
      <c r="W18" s="49">
        <v>1.125</v>
      </c>
      <c r="X18" s="49">
        <v>0.5</v>
      </c>
      <c r="Y18" s="48">
        <v>0</v>
      </c>
      <c r="Z18" s="49">
        <v>0</v>
      </c>
      <c r="AA18" s="48">
        <v>0</v>
      </c>
      <c r="AB18" s="49">
        <v>0</v>
      </c>
      <c r="AC18" s="48">
        <v>0</v>
      </c>
      <c r="AD18" s="49">
        <v>0</v>
      </c>
      <c r="AE18" s="48">
        <v>90</v>
      </c>
      <c r="AF18" s="49">
        <v>100</v>
      </c>
      <c r="AG18" s="48">
        <v>90</v>
      </c>
      <c r="AH18" s="112" t="s">
        <v>1794</v>
      </c>
      <c r="AI18" s="112" t="s">
        <v>1830</v>
      </c>
    </row>
    <row r="19" spans="1:35" ht="15">
      <c r="A19" s="135" t="s">
        <v>248</v>
      </c>
      <c r="B19" s="66" t="s">
        <v>262</v>
      </c>
      <c r="C19" s="66" t="s">
        <v>59</v>
      </c>
      <c r="D19" s="107"/>
      <c r="E19" s="106"/>
      <c r="F19" s="108" t="s">
        <v>1847</v>
      </c>
      <c r="G19" s="109"/>
      <c r="H19" s="109"/>
      <c r="I19" s="110">
        <v>19</v>
      </c>
      <c r="J19" s="111"/>
      <c r="K19" s="48">
        <v>3</v>
      </c>
      <c r="L19" s="48">
        <v>4</v>
      </c>
      <c r="M19" s="48">
        <v>0</v>
      </c>
      <c r="N19" s="48">
        <v>4</v>
      </c>
      <c r="O19" s="48">
        <v>0</v>
      </c>
      <c r="P19" s="49">
        <v>1</v>
      </c>
      <c r="Q19" s="49">
        <v>1</v>
      </c>
      <c r="R19" s="48">
        <v>1</v>
      </c>
      <c r="S19" s="48">
        <v>0</v>
      </c>
      <c r="T19" s="48">
        <v>3</v>
      </c>
      <c r="U19" s="48">
        <v>4</v>
      </c>
      <c r="V19" s="48">
        <v>2</v>
      </c>
      <c r="W19" s="49">
        <v>0.888889</v>
      </c>
      <c r="X19" s="49">
        <v>0.6666666666666666</v>
      </c>
      <c r="Y19" s="48">
        <v>0</v>
      </c>
      <c r="Z19" s="49">
        <v>0</v>
      </c>
      <c r="AA19" s="48">
        <v>0</v>
      </c>
      <c r="AB19" s="49">
        <v>0</v>
      </c>
      <c r="AC19" s="48">
        <v>0</v>
      </c>
      <c r="AD19" s="49">
        <v>0</v>
      </c>
      <c r="AE19" s="48">
        <v>36</v>
      </c>
      <c r="AF19" s="49">
        <v>100</v>
      </c>
      <c r="AG19" s="48">
        <v>36</v>
      </c>
      <c r="AH19" s="112" t="s">
        <v>1795</v>
      </c>
      <c r="AI19" s="112" t="s">
        <v>408</v>
      </c>
    </row>
    <row r="20" spans="1:35" ht="15">
      <c r="A20" s="135" t="s">
        <v>249</v>
      </c>
      <c r="B20" s="66" t="s">
        <v>263</v>
      </c>
      <c r="C20" s="66" t="s">
        <v>59</v>
      </c>
      <c r="D20" s="107"/>
      <c r="E20" s="106"/>
      <c r="F20" s="108" t="s">
        <v>1848</v>
      </c>
      <c r="G20" s="109"/>
      <c r="H20" s="109"/>
      <c r="I20" s="110">
        <v>20</v>
      </c>
      <c r="J20" s="111"/>
      <c r="K20" s="48">
        <v>3</v>
      </c>
      <c r="L20" s="48">
        <v>5</v>
      </c>
      <c r="M20" s="48">
        <v>0</v>
      </c>
      <c r="N20" s="48">
        <v>5</v>
      </c>
      <c r="O20" s="48">
        <v>1</v>
      </c>
      <c r="P20" s="49">
        <v>1</v>
      </c>
      <c r="Q20" s="49">
        <v>1</v>
      </c>
      <c r="R20" s="48">
        <v>1</v>
      </c>
      <c r="S20" s="48">
        <v>0</v>
      </c>
      <c r="T20" s="48">
        <v>3</v>
      </c>
      <c r="U20" s="48">
        <v>5</v>
      </c>
      <c r="V20" s="48">
        <v>2</v>
      </c>
      <c r="W20" s="49">
        <v>0.888889</v>
      </c>
      <c r="X20" s="49">
        <v>0.6666666666666666</v>
      </c>
      <c r="Y20" s="48">
        <v>0</v>
      </c>
      <c r="Z20" s="49">
        <v>0</v>
      </c>
      <c r="AA20" s="48">
        <v>0</v>
      </c>
      <c r="AB20" s="49">
        <v>0</v>
      </c>
      <c r="AC20" s="48">
        <v>0</v>
      </c>
      <c r="AD20" s="49">
        <v>0</v>
      </c>
      <c r="AE20" s="48">
        <v>52</v>
      </c>
      <c r="AF20" s="49">
        <v>100</v>
      </c>
      <c r="AG20" s="48">
        <v>52</v>
      </c>
      <c r="AH20" s="112" t="s">
        <v>1796</v>
      </c>
      <c r="AI20" s="112" t="s">
        <v>1801</v>
      </c>
    </row>
    <row r="21" spans="1:35" ht="15">
      <c r="A21" s="135" t="s">
        <v>250</v>
      </c>
      <c r="B21" s="66" t="s">
        <v>264</v>
      </c>
      <c r="C21" s="66" t="s">
        <v>59</v>
      </c>
      <c r="D21" s="107"/>
      <c r="E21" s="106"/>
      <c r="F21" s="108" t="s">
        <v>250</v>
      </c>
      <c r="G21" s="109"/>
      <c r="H21" s="109"/>
      <c r="I21" s="110">
        <v>21</v>
      </c>
      <c r="J21" s="111"/>
      <c r="K21" s="48">
        <v>3</v>
      </c>
      <c r="L21" s="48">
        <v>1</v>
      </c>
      <c r="M21" s="48">
        <v>2</v>
      </c>
      <c r="N21" s="48">
        <v>3</v>
      </c>
      <c r="O21" s="48">
        <v>0</v>
      </c>
      <c r="P21" s="49">
        <v>0</v>
      </c>
      <c r="Q21" s="49">
        <v>0</v>
      </c>
      <c r="R21" s="48">
        <v>1</v>
      </c>
      <c r="S21" s="48">
        <v>0</v>
      </c>
      <c r="T21" s="48">
        <v>3</v>
      </c>
      <c r="U21" s="48">
        <v>3</v>
      </c>
      <c r="V21" s="48">
        <v>2</v>
      </c>
      <c r="W21" s="49">
        <v>0.888889</v>
      </c>
      <c r="X21" s="49">
        <v>0.3333333333333333</v>
      </c>
      <c r="Y21" s="48">
        <v>0</v>
      </c>
      <c r="Z21" s="49">
        <v>0</v>
      </c>
      <c r="AA21" s="48">
        <v>0</v>
      </c>
      <c r="AB21" s="49">
        <v>0</v>
      </c>
      <c r="AC21" s="48">
        <v>0</v>
      </c>
      <c r="AD21" s="49">
        <v>0</v>
      </c>
      <c r="AE21" s="48">
        <v>0</v>
      </c>
      <c r="AF21" s="49">
        <v>0</v>
      </c>
      <c r="AG21" s="48">
        <v>0</v>
      </c>
      <c r="AH21" s="112" t="s">
        <v>408</v>
      </c>
      <c r="AI21" s="112" t="s">
        <v>408</v>
      </c>
    </row>
    <row r="22" spans="1:35" ht="15">
      <c r="A22" s="135" t="s">
        <v>251</v>
      </c>
      <c r="B22" s="66" t="s">
        <v>265</v>
      </c>
      <c r="C22" s="66" t="s">
        <v>59</v>
      </c>
      <c r="D22" s="107"/>
      <c r="E22" s="106"/>
      <c r="F22" s="108" t="s">
        <v>1849</v>
      </c>
      <c r="G22" s="109"/>
      <c r="H22" s="109"/>
      <c r="I22" s="110">
        <v>22</v>
      </c>
      <c r="J22" s="111"/>
      <c r="K22" s="48">
        <v>3</v>
      </c>
      <c r="L22" s="48">
        <v>3</v>
      </c>
      <c r="M22" s="48">
        <v>2</v>
      </c>
      <c r="N22" s="48">
        <v>5</v>
      </c>
      <c r="O22" s="48">
        <v>0</v>
      </c>
      <c r="P22" s="49">
        <v>1</v>
      </c>
      <c r="Q22" s="49">
        <v>1</v>
      </c>
      <c r="R22" s="48">
        <v>1</v>
      </c>
      <c r="S22" s="48">
        <v>0</v>
      </c>
      <c r="T22" s="48">
        <v>3</v>
      </c>
      <c r="U22" s="48">
        <v>5</v>
      </c>
      <c r="V22" s="48">
        <v>2</v>
      </c>
      <c r="W22" s="49">
        <v>0.888889</v>
      </c>
      <c r="X22" s="49">
        <v>0.6666666666666666</v>
      </c>
      <c r="Y22" s="48">
        <v>8</v>
      </c>
      <c r="Z22" s="49">
        <v>10</v>
      </c>
      <c r="AA22" s="48">
        <v>0</v>
      </c>
      <c r="AB22" s="49">
        <v>0</v>
      </c>
      <c r="AC22" s="48">
        <v>0</v>
      </c>
      <c r="AD22" s="49">
        <v>0</v>
      </c>
      <c r="AE22" s="48">
        <v>72</v>
      </c>
      <c r="AF22" s="49">
        <v>90</v>
      </c>
      <c r="AG22" s="48">
        <v>80</v>
      </c>
      <c r="AH22" s="112" t="s">
        <v>1797</v>
      </c>
      <c r="AI22" s="112" t="s">
        <v>1831</v>
      </c>
    </row>
    <row r="23" spans="1:35" ht="15">
      <c r="A23" s="135" t="s">
        <v>252</v>
      </c>
      <c r="B23" s="66" t="s">
        <v>266</v>
      </c>
      <c r="C23" s="66" t="s">
        <v>59</v>
      </c>
      <c r="D23" s="107"/>
      <c r="E23" s="106"/>
      <c r="F23" s="108" t="s">
        <v>1850</v>
      </c>
      <c r="G23" s="109"/>
      <c r="H23" s="109"/>
      <c r="I23" s="110">
        <v>23</v>
      </c>
      <c r="J23" s="111"/>
      <c r="K23" s="48">
        <v>3</v>
      </c>
      <c r="L23" s="48">
        <v>4</v>
      </c>
      <c r="M23" s="48">
        <v>0</v>
      </c>
      <c r="N23" s="48">
        <v>4</v>
      </c>
      <c r="O23" s="48">
        <v>0</v>
      </c>
      <c r="P23" s="49">
        <v>1</v>
      </c>
      <c r="Q23" s="49">
        <v>1</v>
      </c>
      <c r="R23" s="48">
        <v>1</v>
      </c>
      <c r="S23" s="48">
        <v>0</v>
      </c>
      <c r="T23" s="48">
        <v>3</v>
      </c>
      <c r="U23" s="48">
        <v>4</v>
      </c>
      <c r="V23" s="48">
        <v>2</v>
      </c>
      <c r="W23" s="49">
        <v>0.888889</v>
      </c>
      <c r="X23" s="49">
        <v>0.6666666666666666</v>
      </c>
      <c r="Y23" s="48">
        <v>0</v>
      </c>
      <c r="Z23" s="49">
        <v>0</v>
      </c>
      <c r="AA23" s="48">
        <v>0</v>
      </c>
      <c r="AB23" s="49">
        <v>0</v>
      </c>
      <c r="AC23" s="48">
        <v>0</v>
      </c>
      <c r="AD23" s="49">
        <v>0</v>
      </c>
      <c r="AE23" s="48">
        <v>56</v>
      </c>
      <c r="AF23" s="49">
        <v>100</v>
      </c>
      <c r="AG23" s="48">
        <v>56</v>
      </c>
      <c r="AH23" s="112" t="s">
        <v>1798</v>
      </c>
      <c r="AI23" s="112" t="s">
        <v>1832</v>
      </c>
    </row>
    <row r="24" spans="1:35" ht="15">
      <c r="A24" s="135" t="s">
        <v>253</v>
      </c>
      <c r="B24" s="66" t="s">
        <v>267</v>
      </c>
      <c r="C24" s="66" t="s">
        <v>59</v>
      </c>
      <c r="D24" s="107"/>
      <c r="E24" s="106"/>
      <c r="F24" s="108" t="s">
        <v>253</v>
      </c>
      <c r="G24" s="109"/>
      <c r="H24" s="109"/>
      <c r="I24" s="110">
        <v>24</v>
      </c>
      <c r="J24" s="111"/>
      <c r="K24" s="48">
        <v>3</v>
      </c>
      <c r="L24" s="48">
        <v>2</v>
      </c>
      <c r="M24" s="48">
        <v>0</v>
      </c>
      <c r="N24" s="48">
        <v>2</v>
      </c>
      <c r="O24" s="48">
        <v>0</v>
      </c>
      <c r="P24" s="49">
        <v>0</v>
      </c>
      <c r="Q24" s="49">
        <v>0</v>
      </c>
      <c r="R24" s="48">
        <v>1</v>
      </c>
      <c r="S24" s="48">
        <v>0</v>
      </c>
      <c r="T24" s="48">
        <v>3</v>
      </c>
      <c r="U24" s="48">
        <v>2</v>
      </c>
      <c r="V24" s="48">
        <v>2</v>
      </c>
      <c r="W24" s="49">
        <v>0.888889</v>
      </c>
      <c r="X24" s="49">
        <v>0.3333333333333333</v>
      </c>
      <c r="Y24" s="48">
        <v>0</v>
      </c>
      <c r="Z24" s="49">
        <v>0</v>
      </c>
      <c r="AA24" s="48">
        <v>0</v>
      </c>
      <c r="AB24" s="49">
        <v>0</v>
      </c>
      <c r="AC24" s="48">
        <v>0</v>
      </c>
      <c r="AD24" s="49">
        <v>0</v>
      </c>
      <c r="AE24" s="48">
        <v>0</v>
      </c>
      <c r="AF24" s="49">
        <v>0</v>
      </c>
      <c r="AG24" s="48">
        <v>0</v>
      </c>
      <c r="AH24" s="112" t="s">
        <v>408</v>
      </c>
      <c r="AI24" s="112" t="s">
        <v>408</v>
      </c>
    </row>
    <row r="25" spans="1:35" ht="15">
      <c r="A25" s="135" t="s">
        <v>254</v>
      </c>
      <c r="B25" s="66" t="s">
        <v>268</v>
      </c>
      <c r="C25" s="66" t="s">
        <v>59</v>
      </c>
      <c r="D25" s="107"/>
      <c r="E25" s="106"/>
      <c r="F25" s="108" t="s">
        <v>254</v>
      </c>
      <c r="G25" s="109"/>
      <c r="H25" s="109"/>
      <c r="I25" s="110">
        <v>25</v>
      </c>
      <c r="J25" s="111"/>
      <c r="K25" s="48">
        <v>3</v>
      </c>
      <c r="L25" s="48">
        <v>4</v>
      </c>
      <c r="M25" s="48">
        <v>0</v>
      </c>
      <c r="N25" s="48">
        <v>4</v>
      </c>
      <c r="O25" s="48">
        <v>0</v>
      </c>
      <c r="P25" s="49">
        <v>1</v>
      </c>
      <c r="Q25" s="49">
        <v>1</v>
      </c>
      <c r="R25" s="48">
        <v>1</v>
      </c>
      <c r="S25" s="48">
        <v>0</v>
      </c>
      <c r="T25" s="48">
        <v>3</v>
      </c>
      <c r="U25" s="48">
        <v>4</v>
      </c>
      <c r="V25" s="48">
        <v>2</v>
      </c>
      <c r="W25" s="49">
        <v>0.888889</v>
      </c>
      <c r="X25" s="49">
        <v>0.6666666666666666</v>
      </c>
      <c r="Y25" s="48">
        <v>1</v>
      </c>
      <c r="Z25" s="49">
        <v>2.3255813953488373</v>
      </c>
      <c r="AA25" s="48">
        <v>0</v>
      </c>
      <c r="AB25" s="49">
        <v>0</v>
      </c>
      <c r="AC25" s="48">
        <v>0</v>
      </c>
      <c r="AD25" s="49">
        <v>0</v>
      </c>
      <c r="AE25" s="48">
        <v>42</v>
      </c>
      <c r="AF25" s="49">
        <v>97.67441860465117</v>
      </c>
      <c r="AG25" s="48">
        <v>43</v>
      </c>
      <c r="AH25" s="112" t="s">
        <v>408</v>
      </c>
      <c r="AI25" s="112" t="s">
        <v>408</v>
      </c>
    </row>
    <row r="26" spans="1:35" ht="15">
      <c r="A26" s="135" t="s">
        <v>255</v>
      </c>
      <c r="B26" s="66" t="s">
        <v>269</v>
      </c>
      <c r="C26" s="66" t="s">
        <v>59</v>
      </c>
      <c r="D26" s="107"/>
      <c r="E26" s="106"/>
      <c r="F26" s="108" t="s">
        <v>255</v>
      </c>
      <c r="G26" s="109"/>
      <c r="H26" s="109"/>
      <c r="I26" s="110">
        <v>26</v>
      </c>
      <c r="J26" s="111"/>
      <c r="K26" s="48">
        <v>2</v>
      </c>
      <c r="L26" s="48">
        <v>2</v>
      </c>
      <c r="M26" s="48">
        <v>0</v>
      </c>
      <c r="N26" s="48">
        <v>2</v>
      </c>
      <c r="O26" s="48">
        <v>0</v>
      </c>
      <c r="P26" s="49">
        <v>1</v>
      </c>
      <c r="Q26" s="49">
        <v>1</v>
      </c>
      <c r="R26" s="48">
        <v>1</v>
      </c>
      <c r="S26" s="48">
        <v>0</v>
      </c>
      <c r="T26" s="48">
        <v>2</v>
      </c>
      <c r="U26" s="48">
        <v>2</v>
      </c>
      <c r="V26" s="48">
        <v>1</v>
      </c>
      <c r="W26" s="49">
        <v>0.5</v>
      </c>
      <c r="X26" s="49">
        <v>1</v>
      </c>
      <c r="Y26" s="48">
        <v>0</v>
      </c>
      <c r="Z26" s="49">
        <v>0</v>
      </c>
      <c r="AA26" s="48">
        <v>0</v>
      </c>
      <c r="AB26" s="49">
        <v>0</v>
      </c>
      <c r="AC26" s="48">
        <v>0</v>
      </c>
      <c r="AD26" s="49">
        <v>0</v>
      </c>
      <c r="AE26" s="48">
        <v>0</v>
      </c>
      <c r="AF26" s="49">
        <v>0</v>
      </c>
      <c r="AG26" s="48">
        <v>0</v>
      </c>
      <c r="AH26" s="112" t="s">
        <v>408</v>
      </c>
      <c r="AI26" s="112" t="s">
        <v>408</v>
      </c>
    </row>
    <row r="27" spans="1:35" ht="15">
      <c r="A27" s="135" t="s">
        <v>256</v>
      </c>
      <c r="B27" s="66" t="s">
        <v>258</v>
      </c>
      <c r="C27" s="66" t="s">
        <v>61</v>
      </c>
      <c r="D27" s="107"/>
      <c r="E27" s="106"/>
      <c r="F27" s="108" t="s">
        <v>1851</v>
      </c>
      <c r="G27" s="109"/>
      <c r="H27" s="109"/>
      <c r="I27" s="110">
        <v>27</v>
      </c>
      <c r="J27" s="111"/>
      <c r="K27" s="48">
        <v>2</v>
      </c>
      <c r="L27" s="48">
        <v>2</v>
      </c>
      <c r="M27" s="48">
        <v>0</v>
      </c>
      <c r="N27" s="48">
        <v>2</v>
      </c>
      <c r="O27" s="48">
        <v>0</v>
      </c>
      <c r="P27" s="49">
        <v>1</v>
      </c>
      <c r="Q27" s="49">
        <v>1</v>
      </c>
      <c r="R27" s="48">
        <v>1</v>
      </c>
      <c r="S27" s="48">
        <v>0</v>
      </c>
      <c r="T27" s="48">
        <v>2</v>
      </c>
      <c r="U27" s="48">
        <v>2</v>
      </c>
      <c r="V27" s="48">
        <v>1</v>
      </c>
      <c r="W27" s="49">
        <v>0.5</v>
      </c>
      <c r="X27" s="49">
        <v>1</v>
      </c>
      <c r="Y27" s="48">
        <v>1</v>
      </c>
      <c r="Z27" s="49">
        <v>3.7037037037037037</v>
      </c>
      <c r="AA27" s="48">
        <v>0</v>
      </c>
      <c r="AB27" s="49">
        <v>0</v>
      </c>
      <c r="AC27" s="48">
        <v>0</v>
      </c>
      <c r="AD27" s="49">
        <v>0</v>
      </c>
      <c r="AE27" s="48">
        <v>26</v>
      </c>
      <c r="AF27" s="49">
        <v>96.29629629629629</v>
      </c>
      <c r="AG27" s="48">
        <v>27</v>
      </c>
      <c r="AH27" s="112" t="s">
        <v>1799</v>
      </c>
      <c r="AI27" s="112" t="s">
        <v>1801</v>
      </c>
    </row>
    <row r="28" spans="1:35" ht="15">
      <c r="A28" s="135" t="s">
        <v>257</v>
      </c>
      <c r="B28" s="66" t="s">
        <v>259</v>
      </c>
      <c r="C28" s="66" t="s">
        <v>61</v>
      </c>
      <c r="D28" s="107"/>
      <c r="E28" s="106"/>
      <c r="F28" s="108" t="s">
        <v>257</v>
      </c>
      <c r="G28" s="109"/>
      <c r="H28" s="109"/>
      <c r="I28" s="110">
        <v>28</v>
      </c>
      <c r="J28" s="111"/>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5</v>
      </c>
      <c r="AF28" s="49">
        <v>100</v>
      </c>
      <c r="AG28" s="48">
        <v>5</v>
      </c>
      <c r="AH28" s="112" t="s">
        <v>408</v>
      </c>
      <c r="AI28" s="112" t="s">
        <v>408</v>
      </c>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232</v>
      </c>
      <c r="B2" s="112" t="s">
        <v>526</v>
      </c>
      <c r="C2" s="79">
        <f>VLOOKUP(GroupVertices[[#This Row],[Vertex]],Vertices[],MATCH("ID",Vertices[[#Headers],[Vertex]:[Top Word Pairs in Description by Salience]],0),FALSE)</f>
        <v>83</v>
      </c>
    </row>
    <row r="3" spans="1:3" ht="15">
      <c r="A3" s="79" t="s">
        <v>232</v>
      </c>
      <c r="B3" s="112" t="s">
        <v>1297</v>
      </c>
      <c r="C3" s="79">
        <f>VLOOKUP(GroupVertices[[#This Row],[Vertex]],Vertices[],MATCH("ID",Vertices[[#Headers],[Vertex]:[Top Word Pairs in Description by Salience]],0),FALSE)</f>
        <v>168</v>
      </c>
    </row>
    <row r="4" spans="1:3" ht="15">
      <c r="A4" s="79" t="s">
        <v>232</v>
      </c>
      <c r="B4" s="112" t="s">
        <v>1261</v>
      </c>
      <c r="C4" s="79">
        <f>VLOOKUP(GroupVertices[[#This Row],[Vertex]],Vertices[],MATCH("ID",Vertices[[#Headers],[Vertex]:[Top Word Pairs in Description by Salience]],0),FALSE)</f>
        <v>169</v>
      </c>
    </row>
    <row r="5" spans="1:3" ht="15">
      <c r="A5" s="79" t="s">
        <v>232</v>
      </c>
      <c r="B5" s="112" t="s">
        <v>1262</v>
      </c>
      <c r="C5" s="79">
        <f>VLOOKUP(GroupVertices[[#This Row],[Vertex]],Vertices[],MATCH("ID",Vertices[[#Headers],[Vertex]:[Top Word Pairs in Description by Salience]],0),FALSE)</f>
        <v>170</v>
      </c>
    </row>
    <row r="6" spans="1:3" ht="15">
      <c r="A6" s="79" t="s">
        <v>232</v>
      </c>
      <c r="B6" s="112" t="s">
        <v>1263</v>
      </c>
      <c r="C6" s="79">
        <f>VLOOKUP(GroupVertices[[#This Row],[Vertex]],Vertices[],MATCH("ID",Vertices[[#Headers],[Vertex]:[Top Word Pairs in Description by Salience]],0),FALSE)</f>
        <v>171</v>
      </c>
    </row>
    <row r="7" spans="1:3" ht="15">
      <c r="A7" s="79" t="s">
        <v>232</v>
      </c>
      <c r="B7" s="112" t="s">
        <v>1264</v>
      </c>
      <c r="C7" s="79">
        <f>VLOOKUP(GroupVertices[[#This Row],[Vertex]],Vertices[],MATCH("ID",Vertices[[#Headers],[Vertex]:[Top Word Pairs in Description by Salience]],0),FALSE)</f>
        <v>172</v>
      </c>
    </row>
    <row r="8" spans="1:3" ht="15">
      <c r="A8" s="79" t="s">
        <v>232</v>
      </c>
      <c r="B8" s="112" t="s">
        <v>1265</v>
      </c>
      <c r="C8" s="79">
        <f>VLOOKUP(GroupVertices[[#This Row],[Vertex]],Vertices[],MATCH("ID",Vertices[[#Headers],[Vertex]:[Top Word Pairs in Description by Salience]],0),FALSE)</f>
        <v>173</v>
      </c>
    </row>
    <row r="9" spans="1:3" ht="15">
      <c r="A9" s="79" t="s">
        <v>232</v>
      </c>
      <c r="B9" s="112" t="s">
        <v>1266</v>
      </c>
      <c r="C9" s="79">
        <f>VLOOKUP(GroupVertices[[#This Row],[Vertex]],Vertices[],MATCH("ID",Vertices[[#Headers],[Vertex]:[Top Word Pairs in Description by Salience]],0),FALSE)</f>
        <v>174</v>
      </c>
    </row>
    <row r="10" spans="1:3" ht="15">
      <c r="A10" s="79" t="s">
        <v>232</v>
      </c>
      <c r="B10" s="112" t="s">
        <v>1267</v>
      </c>
      <c r="C10" s="79">
        <f>VLOOKUP(GroupVertices[[#This Row],[Vertex]],Vertices[],MATCH("ID",Vertices[[#Headers],[Vertex]:[Top Word Pairs in Description by Salience]],0),FALSE)</f>
        <v>175</v>
      </c>
    </row>
    <row r="11" spans="1:3" ht="15">
      <c r="A11" s="79" t="s">
        <v>232</v>
      </c>
      <c r="B11" s="112" t="s">
        <v>1268</v>
      </c>
      <c r="C11" s="79">
        <f>VLOOKUP(GroupVertices[[#This Row],[Vertex]],Vertices[],MATCH("ID",Vertices[[#Headers],[Vertex]:[Top Word Pairs in Description by Salience]],0),FALSE)</f>
        <v>176</v>
      </c>
    </row>
    <row r="12" spans="1:3" ht="15">
      <c r="A12" s="79" t="s">
        <v>232</v>
      </c>
      <c r="B12" s="112" t="s">
        <v>1269</v>
      </c>
      <c r="C12" s="79">
        <f>VLOOKUP(GroupVertices[[#This Row],[Vertex]],Vertices[],MATCH("ID",Vertices[[#Headers],[Vertex]:[Top Word Pairs in Description by Salience]],0),FALSE)</f>
        <v>177</v>
      </c>
    </row>
    <row r="13" spans="1:3" ht="15">
      <c r="A13" s="79" t="s">
        <v>232</v>
      </c>
      <c r="B13" s="112" t="s">
        <v>1270</v>
      </c>
      <c r="C13" s="79">
        <f>VLOOKUP(GroupVertices[[#This Row],[Vertex]],Vertices[],MATCH("ID",Vertices[[#Headers],[Vertex]:[Top Word Pairs in Description by Salience]],0),FALSE)</f>
        <v>178</v>
      </c>
    </row>
    <row r="14" spans="1:3" ht="15">
      <c r="A14" s="79" t="s">
        <v>232</v>
      </c>
      <c r="B14" s="112" t="s">
        <v>1271</v>
      </c>
      <c r="C14" s="79">
        <f>VLOOKUP(GroupVertices[[#This Row],[Vertex]],Vertices[],MATCH("ID",Vertices[[#Headers],[Vertex]:[Top Word Pairs in Description by Salience]],0),FALSE)</f>
        <v>179</v>
      </c>
    </row>
    <row r="15" spans="1:3" ht="15">
      <c r="A15" s="79" t="s">
        <v>232</v>
      </c>
      <c r="B15" s="112" t="s">
        <v>1272</v>
      </c>
      <c r="C15" s="79">
        <f>VLOOKUP(GroupVertices[[#This Row],[Vertex]],Vertices[],MATCH("ID",Vertices[[#Headers],[Vertex]:[Top Word Pairs in Description by Salience]],0),FALSE)</f>
        <v>180</v>
      </c>
    </row>
    <row r="16" spans="1:3" ht="15">
      <c r="A16" s="79" t="s">
        <v>232</v>
      </c>
      <c r="B16" s="112" t="s">
        <v>1273</v>
      </c>
      <c r="C16" s="79">
        <f>VLOOKUP(GroupVertices[[#This Row],[Vertex]],Vertices[],MATCH("ID",Vertices[[#Headers],[Vertex]:[Top Word Pairs in Description by Salience]],0),FALSE)</f>
        <v>181</v>
      </c>
    </row>
    <row r="17" spans="1:3" ht="15">
      <c r="A17" s="79" t="s">
        <v>232</v>
      </c>
      <c r="B17" s="112" t="s">
        <v>1274</v>
      </c>
      <c r="C17" s="79">
        <f>VLOOKUP(GroupVertices[[#This Row],[Vertex]],Vertices[],MATCH("ID",Vertices[[#Headers],[Vertex]:[Top Word Pairs in Description by Salience]],0),FALSE)</f>
        <v>182</v>
      </c>
    </row>
    <row r="18" spans="1:3" ht="15">
      <c r="A18" s="79" t="s">
        <v>232</v>
      </c>
      <c r="B18" s="112" t="s">
        <v>1275</v>
      </c>
      <c r="C18" s="79">
        <f>VLOOKUP(GroupVertices[[#This Row],[Vertex]],Vertices[],MATCH("ID",Vertices[[#Headers],[Vertex]:[Top Word Pairs in Description by Salience]],0),FALSE)</f>
        <v>183</v>
      </c>
    </row>
    <row r="19" spans="1:3" ht="15">
      <c r="A19" s="79" t="s">
        <v>232</v>
      </c>
      <c r="B19" s="112" t="s">
        <v>1276</v>
      </c>
      <c r="C19" s="79">
        <f>VLOOKUP(GroupVertices[[#This Row],[Vertex]],Vertices[],MATCH("ID",Vertices[[#Headers],[Vertex]:[Top Word Pairs in Description by Salience]],0),FALSE)</f>
        <v>184</v>
      </c>
    </row>
    <row r="20" spans="1:3" ht="15">
      <c r="A20" s="79" t="s">
        <v>232</v>
      </c>
      <c r="B20" s="112" t="s">
        <v>1277</v>
      </c>
      <c r="C20" s="79">
        <f>VLOOKUP(GroupVertices[[#This Row],[Vertex]],Vertices[],MATCH("ID",Vertices[[#Headers],[Vertex]:[Top Word Pairs in Description by Salience]],0),FALSE)</f>
        <v>185</v>
      </c>
    </row>
    <row r="21" spans="1:3" ht="15">
      <c r="A21" s="79" t="s">
        <v>232</v>
      </c>
      <c r="B21" s="112" t="s">
        <v>1278</v>
      </c>
      <c r="C21" s="79">
        <f>VLOOKUP(GroupVertices[[#This Row],[Vertex]],Vertices[],MATCH("ID",Vertices[[#Headers],[Vertex]:[Top Word Pairs in Description by Salience]],0),FALSE)</f>
        <v>186</v>
      </c>
    </row>
    <row r="22" spans="1:3" ht="15">
      <c r="A22" s="79" t="s">
        <v>232</v>
      </c>
      <c r="B22" s="112" t="s">
        <v>1279</v>
      </c>
      <c r="C22" s="79">
        <f>VLOOKUP(GroupVertices[[#This Row],[Vertex]],Vertices[],MATCH("ID",Vertices[[#Headers],[Vertex]:[Top Word Pairs in Description by Salience]],0),FALSE)</f>
        <v>187</v>
      </c>
    </row>
    <row r="23" spans="1:3" ht="15">
      <c r="A23" s="79" t="s">
        <v>232</v>
      </c>
      <c r="B23" s="112" t="s">
        <v>1280</v>
      </c>
      <c r="C23" s="79">
        <f>VLOOKUP(GroupVertices[[#This Row],[Vertex]],Vertices[],MATCH("ID",Vertices[[#Headers],[Vertex]:[Top Word Pairs in Description by Salience]],0),FALSE)</f>
        <v>188</v>
      </c>
    </row>
    <row r="24" spans="1:3" ht="15">
      <c r="A24" s="79" t="s">
        <v>232</v>
      </c>
      <c r="B24" s="112" t="s">
        <v>1281</v>
      </c>
      <c r="C24" s="79">
        <f>VLOOKUP(GroupVertices[[#This Row],[Vertex]],Vertices[],MATCH("ID",Vertices[[#Headers],[Vertex]:[Top Word Pairs in Description by Salience]],0),FALSE)</f>
        <v>189</v>
      </c>
    </row>
    <row r="25" spans="1:3" ht="15">
      <c r="A25" s="79" t="s">
        <v>232</v>
      </c>
      <c r="B25" s="112" t="s">
        <v>1282</v>
      </c>
      <c r="C25" s="79">
        <f>VLOOKUP(GroupVertices[[#This Row],[Vertex]],Vertices[],MATCH("ID",Vertices[[#Headers],[Vertex]:[Top Word Pairs in Description by Salience]],0),FALSE)</f>
        <v>190</v>
      </c>
    </row>
    <row r="26" spans="1:3" ht="15">
      <c r="A26" s="79" t="s">
        <v>232</v>
      </c>
      <c r="B26" s="112" t="s">
        <v>1283</v>
      </c>
      <c r="C26" s="79">
        <f>VLOOKUP(GroupVertices[[#This Row],[Vertex]],Vertices[],MATCH("ID",Vertices[[#Headers],[Vertex]:[Top Word Pairs in Description by Salience]],0),FALSE)</f>
        <v>191</v>
      </c>
    </row>
    <row r="27" spans="1:3" ht="15">
      <c r="A27" s="79" t="s">
        <v>232</v>
      </c>
      <c r="B27" s="112" t="s">
        <v>1284</v>
      </c>
      <c r="C27" s="79">
        <f>VLOOKUP(GroupVertices[[#This Row],[Vertex]],Vertices[],MATCH("ID",Vertices[[#Headers],[Vertex]:[Top Word Pairs in Description by Salience]],0),FALSE)</f>
        <v>192</v>
      </c>
    </row>
    <row r="28" spans="1:3" ht="15">
      <c r="A28" s="79" t="s">
        <v>232</v>
      </c>
      <c r="B28" s="112" t="s">
        <v>1285</v>
      </c>
      <c r="C28" s="79">
        <f>VLOOKUP(GroupVertices[[#This Row],[Vertex]],Vertices[],MATCH("ID",Vertices[[#Headers],[Vertex]:[Top Word Pairs in Description by Salience]],0),FALSE)</f>
        <v>193</v>
      </c>
    </row>
    <row r="29" spans="1:3" ht="15">
      <c r="A29" s="79" t="s">
        <v>232</v>
      </c>
      <c r="B29" s="112" t="s">
        <v>1286</v>
      </c>
      <c r="C29" s="79">
        <f>VLOOKUP(GroupVertices[[#This Row],[Vertex]],Vertices[],MATCH("ID",Vertices[[#Headers],[Vertex]:[Top Word Pairs in Description by Salience]],0),FALSE)</f>
        <v>194</v>
      </c>
    </row>
    <row r="30" spans="1:3" ht="15">
      <c r="A30" s="79" t="s">
        <v>232</v>
      </c>
      <c r="B30" s="112" t="s">
        <v>1287</v>
      </c>
      <c r="C30" s="79">
        <f>VLOOKUP(GroupVertices[[#This Row],[Vertex]],Vertices[],MATCH("ID",Vertices[[#Headers],[Vertex]:[Top Word Pairs in Description by Salience]],0),FALSE)</f>
        <v>195</v>
      </c>
    </row>
    <row r="31" spans="1:3" ht="15">
      <c r="A31" s="79" t="s">
        <v>232</v>
      </c>
      <c r="B31" s="112" t="s">
        <v>1288</v>
      </c>
      <c r="C31" s="79">
        <f>VLOOKUP(GroupVertices[[#This Row],[Vertex]],Vertices[],MATCH("ID",Vertices[[#Headers],[Vertex]:[Top Word Pairs in Description by Salience]],0),FALSE)</f>
        <v>196</v>
      </c>
    </row>
    <row r="32" spans="1:3" ht="15">
      <c r="A32" s="79" t="s">
        <v>232</v>
      </c>
      <c r="B32" s="112" t="s">
        <v>1289</v>
      </c>
      <c r="C32" s="79">
        <f>VLOOKUP(GroupVertices[[#This Row],[Vertex]],Vertices[],MATCH("ID",Vertices[[#Headers],[Vertex]:[Top Word Pairs in Description by Salience]],0),FALSE)</f>
        <v>197</v>
      </c>
    </row>
    <row r="33" spans="1:3" ht="15">
      <c r="A33" s="79" t="s">
        <v>232</v>
      </c>
      <c r="B33" s="112" t="s">
        <v>1290</v>
      </c>
      <c r="C33" s="79">
        <f>VLOOKUP(GroupVertices[[#This Row],[Vertex]],Vertices[],MATCH("ID",Vertices[[#Headers],[Vertex]:[Top Word Pairs in Description by Salience]],0),FALSE)</f>
        <v>198</v>
      </c>
    </row>
    <row r="34" spans="1:3" ht="15">
      <c r="A34" s="79" t="s">
        <v>232</v>
      </c>
      <c r="B34" s="112" t="s">
        <v>1291</v>
      </c>
      <c r="C34" s="79">
        <f>VLOOKUP(GroupVertices[[#This Row],[Vertex]],Vertices[],MATCH("ID",Vertices[[#Headers],[Vertex]:[Top Word Pairs in Description by Salience]],0),FALSE)</f>
        <v>199</v>
      </c>
    </row>
    <row r="35" spans="1:3" ht="15">
      <c r="A35" s="79" t="s">
        <v>232</v>
      </c>
      <c r="B35" s="112" t="s">
        <v>1292</v>
      </c>
      <c r="C35" s="79">
        <f>VLOOKUP(GroupVertices[[#This Row],[Vertex]],Vertices[],MATCH("ID",Vertices[[#Headers],[Vertex]:[Top Word Pairs in Description by Salience]],0),FALSE)</f>
        <v>200</v>
      </c>
    </row>
    <row r="36" spans="1:3" ht="15">
      <c r="A36" s="79" t="s">
        <v>232</v>
      </c>
      <c r="B36" s="112" t="s">
        <v>1293</v>
      </c>
      <c r="C36" s="79">
        <f>VLOOKUP(GroupVertices[[#This Row],[Vertex]],Vertices[],MATCH("ID",Vertices[[#Headers],[Vertex]:[Top Word Pairs in Description by Salience]],0),FALSE)</f>
        <v>201</v>
      </c>
    </row>
    <row r="37" spans="1:3" ht="15">
      <c r="A37" s="79" t="s">
        <v>232</v>
      </c>
      <c r="B37" s="112" t="s">
        <v>1294</v>
      </c>
      <c r="C37" s="79">
        <f>VLOOKUP(GroupVertices[[#This Row],[Vertex]],Vertices[],MATCH("ID",Vertices[[#Headers],[Vertex]:[Top Word Pairs in Description by Salience]],0),FALSE)</f>
        <v>202</v>
      </c>
    </row>
    <row r="38" spans="1:3" ht="15">
      <c r="A38" s="79" t="s">
        <v>232</v>
      </c>
      <c r="B38" s="112" t="s">
        <v>1295</v>
      </c>
      <c r="C38" s="79">
        <f>VLOOKUP(GroupVertices[[#This Row],[Vertex]],Vertices[],MATCH("ID",Vertices[[#Headers],[Vertex]:[Top Word Pairs in Description by Salience]],0),FALSE)</f>
        <v>203</v>
      </c>
    </row>
    <row r="39" spans="1:3" ht="15">
      <c r="A39" s="79" t="s">
        <v>232</v>
      </c>
      <c r="B39" s="112" t="s">
        <v>1296</v>
      </c>
      <c r="C39" s="79">
        <f>VLOOKUP(GroupVertices[[#This Row],[Vertex]],Vertices[],MATCH("ID",Vertices[[#Headers],[Vertex]:[Top Word Pairs in Description by Salience]],0),FALSE)</f>
        <v>204</v>
      </c>
    </row>
    <row r="40" spans="1:3" ht="15">
      <c r="A40" s="79" t="s">
        <v>233</v>
      </c>
      <c r="B40" s="112" t="s">
        <v>604</v>
      </c>
      <c r="C40" s="79">
        <f>VLOOKUP(GroupVertices[[#This Row],[Vertex]],Vertices[],MATCH("ID",Vertices[[#Headers],[Vertex]:[Top Word Pairs in Description by Salience]],0),FALSE)</f>
        <v>161</v>
      </c>
    </row>
    <row r="41" spans="1:3" ht="15">
      <c r="A41" s="79" t="s">
        <v>233</v>
      </c>
      <c r="B41" s="112" t="s">
        <v>461</v>
      </c>
      <c r="C41" s="79">
        <f>VLOOKUP(GroupVertices[[#This Row],[Vertex]],Vertices[],MATCH("ID",Vertices[[#Headers],[Vertex]:[Top Word Pairs in Description by Salience]],0),FALSE)</f>
        <v>18</v>
      </c>
    </row>
    <row r="42" spans="1:3" ht="15">
      <c r="A42" s="79" t="s">
        <v>233</v>
      </c>
      <c r="B42" s="112" t="s">
        <v>603</v>
      </c>
      <c r="C42" s="79">
        <f>VLOOKUP(GroupVertices[[#This Row],[Vertex]],Vertices[],MATCH("ID",Vertices[[#Headers],[Vertex]:[Top Word Pairs in Description by Salience]],0),FALSE)</f>
        <v>160</v>
      </c>
    </row>
    <row r="43" spans="1:3" ht="15">
      <c r="A43" s="79" t="s">
        <v>233</v>
      </c>
      <c r="B43" s="112" t="s">
        <v>562</v>
      </c>
      <c r="C43" s="79">
        <f>VLOOKUP(GroupVertices[[#This Row],[Vertex]],Vertices[],MATCH("ID",Vertices[[#Headers],[Vertex]:[Top Word Pairs in Description by Salience]],0),FALSE)</f>
        <v>119</v>
      </c>
    </row>
    <row r="44" spans="1:3" ht="15">
      <c r="A44" s="79" t="s">
        <v>233</v>
      </c>
      <c r="B44" s="112" t="s">
        <v>561</v>
      </c>
      <c r="C44" s="79">
        <f>VLOOKUP(GroupVertices[[#This Row],[Vertex]],Vertices[],MATCH("ID",Vertices[[#Headers],[Vertex]:[Top Word Pairs in Description by Salience]],0),FALSE)</f>
        <v>118</v>
      </c>
    </row>
    <row r="45" spans="1:3" ht="15">
      <c r="A45" s="79" t="s">
        <v>233</v>
      </c>
      <c r="B45" s="112" t="s">
        <v>560</v>
      </c>
      <c r="C45" s="79">
        <f>VLOOKUP(GroupVertices[[#This Row],[Vertex]],Vertices[],MATCH("ID",Vertices[[#Headers],[Vertex]:[Top Word Pairs in Description by Salience]],0),FALSE)</f>
        <v>117</v>
      </c>
    </row>
    <row r="46" spans="1:3" ht="15">
      <c r="A46" s="79" t="s">
        <v>233</v>
      </c>
      <c r="B46" s="112" t="s">
        <v>559</v>
      </c>
      <c r="C46" s="79">
        <f>VLOOKUP(GroupVertices[[#This Row],[Vertex]],Vertices[],MATCH("ID",Vertices[[#Headers],[Vertex]:[Top Word Pairs in Description by Salience]],0),FALSE)</f>
        <v>116</v>
      </c>
    </row>
    <row r="47" spans="1:3" ht="15">
      <c r="A47" s="79" t="s">
        <v>233</v>
      </c>
      <c r="B47" s="112" t="s">
        <v>558</v>
      </c>
      <c r="C47" s="79">
        <f>VLOOKUP(GroupVertices[[#This Row],[Vertex]],Vertices[],MATCH("ID",Vertices[[#Headers],[Vertex]:[Top Word Pairs in Description by Salience]],0),FALSE)</f>
        <v>115</v>
      </c>
    </row>
    <row r="48" spans="1:3" ht="15">
      <c r="A48" s="79" t="s">
        <v>233</v>
      </c>
      <c r="B48" s="112" t="s">
        <v>557</v>
      </c>
      <c r="C48" s="79">
        <f>VLOOKUP(GroupVertices[[#This Row],[Vertex]],Vertices[],MATCH("ID",Vertices[[#Headers],[Vertex]:[Top Word Pairs in Description by Salience]],0),FALSE)</f>
        <v>114</v>
      </c>
    </row>
    <row r="49" spans="1:3" ht="15">
      <c r="A49" s="79" t="s">
        <v>233</v>
      </c>
      <c r="B49" s="112" t="s">
        <v>556</v>
      </c>
      <c r="C49" s="79">
        <f>VLOOKUP(GroupVertices[[#This Row],[Vertex]],Vertices[],MATCH("ID",Vertices[[#Headers],[Vertex]:[Top Word Pairs in Description by Salience]],0),FALSE)</f>
        <v>113</v>
      </c>
    </row>
    <row r="50" spans="1:3" ht="15">
      <c r="A50" s="79" t="s">
        <v>233</v>
      </c>
      <c r="B50" s="112" t="s">
        <v>555</v>
      </c>
      <c r="C50" s="79">
        <f>VLOOKUP(GroupVertices[[#This Row],[Vertex]],Vertices[],MATCH("ID",Vertices[[#Headers],[Vertex]:[Top Word Pairs in Description by Salience]],0),FALSE)</f>
        <v>112</v>
      </c>
    </row>
    <row r="51" spans="1:3" ht="15">
      <c r="A51" s="79" t="s">
        <v>233</v>
      </c>
      <c r="B51" s="112" t="s">
        <v>498</v>
      </c>
      <c r="C51" s="79">
        <f>VLOOKUP(GroupVertices[[#This Row],[Vertex]],Vertices[],MATCH("ID",Vertices[[#Headers],[Vertex]:[Top Word Pairs in Description by Salience]],0),FALSE)</f>
        <v>55</v>
      </c>
    </row>
    <row r="52" spans="1:3" ht="15">
      <c r="A52" s="79" t="s">
        <v>233</v>
      </c>
      <c r="B52" s="112" t="s">
        <v>497</v>
      </c>
      <c r="C52" s="79">
        <f>VLOOKUP(GroupVertices[[#This Row],[Vertex]],Vertices[],MATCH("ID",Vertices[[#Headers],[Vertex]:[Top Word Pairs in Description by Salience]],0),FALSE)</f>
        <v>54</v>
      </c>
    </row>
    <row r="53" spans="1:3" ht="15">
      <c r="A53" s="79" t="s">
        <v>233</v>
      </c>
      <c r="B53" s="112" t="s">
        <v>496</v>
      </c>
      <c r="C53" s="79">
        <f>VLOOKUP(GroupVertices[[#This Row],[Vertex]],Vertices[],MATCH("ID",Vertices[[#Headers],[Vertex]:[Top Word Pairs in Description by Salience]],0),FALSE)</f>
        <v>53</v>
      </c>
    </row>
    <row r="54" spans="1:3" ht="15">
      <c r="A54" s="79" t="s">
        <v>233</v>
      </c>
      <c r="B54" s="112" t="s">
        <v>495</v>
      </c>
      <c r="C54" s="79">
        <f>VLOOKUP(GroupVertices[[#This Row],[Vertex]],Vertices[],MATCH("ID",Vertices[[#Headers],[Vertex]:[Top Word Pairs in Description by Salience]],0),FALSE)</f>
        <v>52</v>
      </c>
    </row>
    <row r="55" spans="1:3" ht="15">
      <c r="A55" s="79" t="s">
        <v>233</v>
      </c>
      <c r="B55" s="112" t="s">
        <v>494</v>
      </c>
      <c r="C55" s="79">
        <f>VLOOKUP(GroupVertices[[#This Row],[Vertex]],Vertices[],MATCH("ID",Vertices[[#Headers],[Vertex]:[Top Word Pairs in Description by Salience]],0),FALSE)</f>
        <v>51</v>
      </c>
    </row>
    <row r="56" spans="1:3" ht="15">
      <c r="A56" s="79" t="s">
        <v>233</v>
      </c>
      <c r="B56" s="112" t="s">
        <v>493</v>
      </c>
      <c r="C56" s="79">
        <f>VLOOKUP(GroupVertices[[#This Row],[Vertex]],Vertices[],MATCH("ID",Vertices[[#Headers],[Vertex]:[Top Word Pairs in Description by Salience]],0),FALSE)</f>
        <v>50</v>
      </c>
    </row>
    <row r="57" spans="1:3" ht="15">
      <c r="A57" s="79" t="s">
        <v>233</v>
      </c>
      <c r="B57" s="112" t="s">
        <v>492</v>
      </c>
      <c r="C57" s="79">
        <f>VLOOKUP(GroupVertices[[#This Row],[Vertex]],Vertices[],MATCH("ID",Vertices[[#Headers],[Vertex]:[Top Word Pairs in Description by Salience]],0),FALSE)</f>
        <v>49</v>
      </c>
    </row>
    <row r="58" spans="1:3" ht="15">
      <c r="A58" s="79" t="s">
        <v>233</v>
      </c>
      <c r="B58" s="112" t="s">
        <v>491</v>
      </c>
      <c r="C58" s="79">
        <f>VLOOKUP(GroupVertices[[#This Row],[Vertex]],Vertices[],MATCH("ID",Vertices[[#Headers],[Vertex]:[Top Word Pairs in Description by Salience]],0),FALSE)</f>
        <v>48</v>
      </c>
    </row>
    <row r="59" spans="1:3" ht="15">
      <c r="A59" s="79" t="s">
        <v>233</v>
      </c>
      <c r="B59" s="112" t="s">
        <v>489</v>
      </c>
      <c r="C59" s="79">
        <f>VLOOKUP(GroupVertices[[#This Row],[Vertex]],Vertices[],MATCH("ID",Vertices[[#Headers],[Vertex]:[Top Word Pairs in Description by Salience]],0),FALSE)</f>
        <v>46</v>
      </c>
    </row>
    <row r="60" spans="1:3" ht="15">
      <c r="A60" s="79" t="s">
        <v>233</v>
      </c>
      <c r="B60" s="112" t="s">
        <v>488</v>
      </c>
      <c r="C60" s="79">
        <f>VLOOKUP(GroupVertices[[#This Row],[Vertex]],Vertices[],MATCH("ID",Vertices[[#Headers],[Vertex]:[Top Word Pairs in Description by Salience]],0),FALSE)</f>
        <v>45</v>
      </c>
    </row>
    <row r="61" spans="1:3" ht="15">
      <c r="A61" s="79" t="s">
        <v>233</v>
      </c>
      <c r="B61" s="112" t="s">
        <v>487</v>
      </c>
      <c r="C61" s="79">
        <f>VLOOKUP(GroupVertices[[#This Row],[Vertex]],Vertices[],MATCH("ID",Vertices[[#Headers],[Vertex]:[Top Word Pairs in Description by Salience]],0),FALSE)</f>
        <v>44</v>
      </c>
    </row>
    <row r="62" spans="1:3" ht="15">
      <c r="A62" s="79" t="s">
        <v>233</v>
      </c>
      <c r="B62" s="112" t="s">
        <v>485</v>
      </c>
      <c r="C62" s="79">
        <f>VLOOKUP(GroupVertices[[#This Row],[Vertex]],Vertices[],MATCH("ID",Vertices[[#Headers],[Vertex]:[Top Word Pairs in Description by Salience]],0),FALSE)</f>
        <v>43</v>
      </c>
    </row>
    <row r="63" spans="1:3" ht="15">
      <c r="A63" s="79" t="s">
        <v>233</v>
      </c>
      <c r="B63" s="112" t="s">
        <v>486</v>
      </c>
      <c r="C63" s="79">
        <f>VLOOKUP(GroupVertices[[#This Row],[Vertex]],Vertices[],MATCH("ID",Vertices[[#Headers],[Vertex]:[Top Word Pairs in Description by Salience]],0),FALSE)</f>
        <v>42</v>
      </c>
    </row>
    <row r="64" spans="1:3" ht="15">
      <c r="A64" s="79" t="s">
        <v>233</v>
      </c>
      <c r="B64" s="112" t="s">
        <v>471</v>
      </c>
      <c r="C64" s="79">
        <f>VLOOKUP(GroupVertices[[#This Row],[Vertex]],Vertices[],MATCH("ID",Vertices[[#Headers],[Vertex]:[Top Word Pairs in Description by Salience]],0),FALSE)</f>
        <v>29</v>
      </c>
    </row>
    <row r="65" spans="1:3" ht="15">
      <c r="A65" s="79" t="s">
        <v>233</v>
      </c>
      <c r="B65" s="112" t="s">
        <v>484</v>
      </c>
      <c r="C65" s="79">
        <f>VLOOKUP(GroupVertices[[#This Row],[Vertex]],Vertices[],MATCH("ID",Vertices[[#Headers],[Vertex]:[Top Word Pairs in Description by Salience]],0),FALSE)</f>
        <v>41</v>
      </c>
    </row>
    <row r="66" spans="1:3" ht="15">
      <c r="A66" s="79" t="s">
        <v>233</v>
      </c>
      <c r="B66" s="112" t="s">
        <v>483</v>
      </c>
      <c r="C66" s="79">
        <f>VLOOKUP(GroupVertices[[#This Row],[Vertex]],Vertices[],MATCH("ID",Vertices[[#Headers],[Vertex]:[Top Word Pairs in Description by Salience]],0),FALSE)</f>
        <v>40</v>
      </c>
    </row>
    <row r="67" spans="1:3" ht="15">
      <c r="A67" s="79" t="s">
        <v>233</v>
      </c>
      <c r="B67" s="112" t="s">
        <v>476</v>
      </c>
      <c r="C67" s="79">
        <f>VLOOKUP(GroupVertices[[#This Row],[Vertex]],Vertices[],MATCH("ID",Vertices[[#Headers],[Vertex]:[Top Word Pairs in Description by Salience]],0),FALSE)</f>
        <v>34</v>
      </c>
    </row>
    <row r="68" spans="1:3" ht="15">
      <c r="A68" s="79" t="s">
        <v>233</v>
      </c>
      <c r="B68" s="112" t="s">
        <v>475</v>
      </c>
      <c r="C68" s="79">
        <f>VLOOKUP(GroupVertices[[#This Row],[Vertex]],Vertices[],MATCH("ID",Vertices[[#Headers],[Vertex]:[Top Word Pairs in Description by Salience]],0),FALSE)</f>
        <v>33</v>
      </c>
    </row>
    <row r="69" spans="1:3" ht="15">
      <c r="A69" s="79" t="s">
        <v>233</v>
      </c>
      <c r="B69" s="112" t="s">
        <v>474</v>
      </c>
      <c r="C69" s="79">
        <f>VLOOKUP(GroupVertices[[#This Row],[Vertex]],Vertices[],MATCH("ID",Vertices[[#Headers],[Vertex]:[Top Word Pairs in Description by Salience]],0),FALSE)</f>
        <v>32</v>
      </c>
    </row>
    <row r="70" spans="1:3" ht="15">
      <c r="A70" s="79" t="s">
        <v>233</v>
      </c>
      <c r="B70" s="112" t="s">
        <v>473</v>
      </c>
      <c r="C70" s="79">
        <f>VLOOKUP(GroupVertices[[#This Row],[Vertex]],Vertices[],MATCH("ID",Vertices[[#Headers],[Vertex]:[Top Word Pairs in Description by Salience]],0),FALSE)</f>
        <v>31</v>
      </c>
    </row>
    <row r="71" spans="1:3" ht="15">
      <c r="A71" s="79" t="s">
        <v>233</v>
      </c>
      <c r="B71" s="112" t="s">
        <v>472</v>
      </c>
      <c r="C71" s="79">
        <f>VLOOKUP(GroupVertices[[#This Row],[Vertex]],Vertices[],MATCH("ID",Vertices[[#Headers],[Vertex]:[Top Word Pairs in Description by Salience]],0),FALSE)</f>
        <v>30</v>
      </c>
    </row>
    <row r="72" spans="1:3" ht="15">
      <c r="A72" s="79" t="s">
        <v>233</v>
      </c>
      <c r="B72" s="112" t="s">
        <v>462</v>
      </c>
      <c r="C72" s="79">
        <f>VLOOKUP(GroupVertices[[#This Row],[Vertex]],Vertices[],MATCH("ID",Vertices[[#Headers],[Vertex]:[Top Word Pairs in Description by Salience]],0),FALSE)</f>
        <v>19</v>
      </c>
    </row>
    <row r="73" spans="1:3" ht="15">
      <c r="A73" s="79" t="s">
        <v>234</v>
      </c>
      <c r="B73" s="112" t="s">
        <v>593</v>
      </c>
      <c r="C73" s="79">
        <f>VLOOKUP(GroupVertices[[#This Row],[Vertex]],Vertices[],MATCH("ID",Vertices[[#Headers],[Vertex]:[Top Word Pairs in Description by Salience]],0),FALSE)</f>
        <v>150</v>
      </c>
    </row>
    <row r="74" spans="1:3" ht="15">
      <c r="A74" s="79" t="s">
        <v>234</v>
      </c>
      <c r="B74" s="112" t="s">
        <v>578</v>
      </c>
      <c r="C74" s="79">
        <f>VLOOKUP(GroupVertices[[#This Row],[Vertex]],Vertices[],MATCH("ID",Vertices[[#Headers],[Vertex]:[Top Word Pairs in Description by Salience]],0),FALSE)</f>
        <v>135</v>
      </c>
    </row>
    <row r="75" spans="1:3" ht="15">
      <c r="A75" s="79" t="s">
        <v>234</v>
      </c>
      <c r="B75" s="112" t="s">
        <v>592</v>
      </c>
      <c r="C75" s="79">
        <f>VLOOKUP(GroupVertices[[#This Row],[Vertex]],Vertices[],MATCH("ID",Vertices[[#Headers],[Vertex]:[Top Word Pairs in Description by Salience]],0),FALSE)</f>
        <v>149</v>
      </c>
    </row>
    <row r="76" spans="1:3" ht="15">
      <c r="A76" s="79" t="s">
        <v>234</v>
      </c>
      <c r="B76" s="112" t="s">
        <v>591</v>
      </c>
      <c r="C76" s="79">
        <f>VLOOKUP(GroupVertices[[#This Row],[Vertex]],Vertices[],MATCH("ID",Vertices[[#Headers],[Vertex]:[Top Word Pairs in Description by Salience]],0),FALSE)</f>
        <v>148</v>
      </c>
    </row>
    <row r="77" spans="1:3" ht="15">
      <c r="A77" s="79" t="s">
        <v>234</v>
      </c>
      <c r="B77" s="112" t="s">
        <v>590</v>
      </c>
      <c r="C77" s="79">
        <f>VLOOKUP(GroupVertices[[#This Row],[Vertex]],Vertices[],MATCH("ID",Vertices[[#Headers],[Vertex]:[Top Word Pairs in Description by Salience]],0),FALSE)</f>
        <v>147</v>
      </c>
    </row>
    <row r="78" spans="1:3" ht="15">
      <c r="A78" s="79" t="s">
        <v>234</v>
      </c>
      <c r="B78" s="112" t="s">
        <v>589</v>
      </c>
      <c r="C78" s="79">
        <f>VLOOKUP(GroupVertices[[#This Row],[Vertex]],Vertices[],MATCH("ID",Vertices[[#Headers],[Vertex]:[Top Word Pairs in Description by Salience]],0),FALSE)</f>
        <v>146</v>
      </c>
    </row>
    <row r="79" spans="1:3" ht="15">
      <c r="A79" s="79" t="s">
        <v>234</v>
      </c>
      <c r="B79" s="112" t="s">
        <v>588</v>
      </c>
      <c r="C79" s="79">
        <f>VLOOKUP(GroupVertices[[#This Row],[Vertex]],Vertices[],MATCH("ID",Vertices[[#Headers],[Vertex]:[Top Word Pairs in Description by Salience]],0),FALSE)</f>
        <v>145</v>
      </c>
    </row>
    <row r="80" spans="1:3" ht="15">
      <c r="A80" s="79" t="s">
        <v>234</v>
      </c>
      <c r="B80" s="112" t="s">
        <v>587</v>
      </c>
      <c r="C80" s="79">
        <f>VLOOKUP(GroupVertices[[#This Row],[Vertex]],Vertices[],MATCH("ID",Vertices[[#Headers],[Vertex]:[Top Word Pairs in Description by Salience]],0),FALSE)</f>
        <v>144</v>
      </c>
    </row>
    <row r="81" spans="1:3" ht="15">
      <c r="A81" s="79" t="s">
        <v>234</v>
      </c>
      <c r="B81" s="112" t="s">
        <v>586</v>
      </c>
      <c r="C81" s="79">
        <f>VLOOKUP(GroupVertices[[#This Row],[Vertex]],Vertices[],MATCH("ID",Vertices[[#Headers],[Vertex]:[Top Word Pairs in Description by Salience]],0),FALSE)</f>
        <v>143</v>
      </c>
    </row>
    <row r="82" spans="1:3" ht="15">
      <c r="A82" s="79" t="s">
        <v>234</v>
      </c>
      <c r="B82" s="112" t="s">
        <v>577</v>
      </c>
      <c r="C82" s="79">
        <f>VLOOKUP(GroupVertices[[#This Row],[Vertex]],Vertices[],MATCH("ID",Vertices[[#Headers],[Vertex]:[Top Word Pairs in Description by Salience]],0),FALSE)</f>
        <v>134</v>
      </c>
    </row>
    <row r="83" spans="1:3" ht="15">
      <c r="A83" s="79" t="s">
        <v>234</v>
      </c>
      <c r="B83" s="112" t="s">
        <v>585</v>
      </c>
      <c r="C83" s="79">
        <f>VLOOKUP(GroupVertices[[#This Row],[Vertex]],Vertices[],MATCH("ID",Vertices[[#Headers],[Vertex]:[Top Word Pairs in Description by Salience]],0),FALSE)</f>
        <v>142</v>
      </c>
    </row>
    <row r="84" spans="1:3" ht="15">
      <c r="A84" s="79" t="s">
        <v>234</v>
      </c>
      <c r="B84" s="112" t="s">
        <v>582</v>
      </c>
      <c r="C84" s="79">
        <f>VLOOKUP(GroupVertices[[#This Row],[Vertex]],Vertices[],MATCH("ID",Vertices[[#Headers],[Vertex]:[Top Word Pairs in Description by Salience]],0),FALSE)</f>
        <v>139</v>
      </c>
    </row>
    <row r="85" spans="1:3" ht="15">
      <c r="A85" s="79" t="s">
        <v>234</v>
      </c>
      <c r="B85" s="112" t="s">
        <v>584</v>
      </c>
      <c r="C85" s="79">
        <f>VLOOKUP(GroupVertices[[#This Row],[Vertex]],Vertices[],MATCH("ID",Vertices[[#Headers],[Vertex]:[Top Word Pairs in Description by Salience]],0),FALSE)</f>
        <v>141</v>
      </c>
    </row>
    <row r="86" spans="1:3" ht="15">
      <c r="A86" s="79" t="s">
        <v>234</v>
      </c>
      <c r="B86" s="112" t="s">
        <v>583</v>
      </c>
      <c r="C86" s="79">
        <f>VLOOKUP(GroupVertices[[#This Row],[Vertex]],Vertices[],MATCH("ID",Vertices[[#Headers],[Vertex]:[Top Word Pairs in Description by Salience]],0),FALSE)</f>
        <v>140</v>
      </c>
    </row>
    <row r="87" spans="1:3" ht="15">
      <c r="A87" s="79" t="s">
        <v>234</v>
      </c>
      <c r="B87" s="112" t="s">
        <v>581</v>
      </c>
      <c r="C87" s="79">
        <f>VLOOKUP(GroupVertices[[#This Row],[Vertex]],Vertices[],MATCH("ID",Vertices[[#Headers],[Vertex]:[Top Word Pairs in Description by Salience]],0),FALSE)</f>
        <v>138</v>
      </c>
    </row>
    <row r="88" spans="1:3" ht="15">
      <c r="A88" s="79" t="s">
        <v>234</v>
      </c>
      <c r="B88" s="112" t="s">
        <v>580</v>
      </c>
      <c r="C88" s="79">
        <f>VLOOKUP(GroupVertices[[#This Row],[Vertex]],Vertices[],MATCH("ID",Vertices[[#Headers],[Vertex]:[Top Word Pairs in Description by Salience]],0),FALSE)</f>
        <v>137</v>
      </c>
    </row>
    <row r="89" spans="1:3" ht="15">
      <c r="A89" s="79" t="s">
        <v>234</v>
      </c>
      <c r="B89" s="112" t="s">
        <v>579</v>
      </c>
      <c r="C89" s="79">
        <f>VLOOKUP(GroupVertices[[#This Row],[Vertex]],Vertices[],MATCH("ID",Vertices[[#Headers],[Vertex]:[Top Word Pairs in Description by Salience]],0),FALSE)</f>
        <v>136</v>
      </c>
    </row>
    <row r="90" spans="1:3" ht="15">
      <c r="A90" s="79" t="s">
        <v>234</v>
      </c>
      <c r="B90" s="112" t="s">
        <v>574</v>
      </c>
      <c r="C90" s="79">
        <f>VLOOKUP(GroupVertices[[#This Row],[Vertex]],Vertices[],MATCH("ID",Vertices[[#Headers],[Vertex]:[Top Word Pairs in Description by Salience]],0),FALSE)</f>
        <v>131</v>
      </c>
    </row>
    <row r="91" spans="1:3" ht="15">
      <c r="A91" s="79" t="s">
        <v>234</v>
      </c>
      <c r="B91" s="112" t="s">
        <v>576</v>
      </c>
      <c r="C91" s="79">
        <f>VLOOKUP(GroupVertices[[#This Row],[Vertex]],Vertices[],MATCH("ID",Vertices[[#Headers],[Vertex]:[Top Word Pairs in Description by Salience]],0),FALSE)</f>
        <v>133</v>
      </c>
    </row>
    <row r="92" spans="1:3" ht="15">
      <c r="A92" s="79" t="s">
        <v>234</v>
      </c>
      <c r="B92" s="112" t="s">
        <v>575</v>
      </c>
      <c r="C92" s="79">
        <f>VLOOKUP(GroupVertices[[#This Row],[Vertex]],Vertices[],MATCH("ID",Vertices[[#Headers],[Vertex]:[Top Word Pairs in Description by Salience]],0),FALSE)</f>
        <v>132</v>
      </c>
    </row>
    <row r="93" spans="1:3" ht="15">
      <c r="A93" s="79" t="s">
        <v>235</v>
      </c>
      <c r="B93" s="112" t="s">
        <v>544</v>
      </c>
      <c r="C93" s="79">
        <f>VLOOKUP(GroupVertices[[#This Row],[Vertex]],Vertices[],MATCH("ID",Vertices[[#Headers],[Vertex]:[Top Word Pairs in Description by Salience]],0),FALSE)</f>
        <v>101</v>
      </c>
    </row>
    <row r="94" spans="1:3" ht="15">
      <c r="A94" s="79" t="s">
        <v>235</v>
      </c>
      <c r="B94" s="112" t="s">
        <v>537</v>
      </c>
      <c r="C94" s="79">
        <f>VLOOKUP(GroupVertices[[#This Row],[Vertex]],Vertices[],MATCH("ID",Vertices[[#Headers],[Vertex]:[Top Word Pairs in Description by Salience]],0),FALSE)</f>
        <v>93</v>
      </c>
    </row>
    <row r="95" spans="1:3" ht="15">
      <c r="A95" s="79" t="s">
        <v>235</v>
      </c>
      <c r="B95" s="112" t="s">
        <v>543</v>
      </c>
      <c r="C95" s="79">
        <f>VLOOKUP(GroupVertices[[#This Row],[Vertex]],Vertices[],MATCH("ID",Vertices[[#Headers],[Vertex]:[Top Word Pairs in Description by Salience]],0),FALSE)</f>
        <v>100</v>
      </c>
    </row>
    <row r="96" spans="1:3" ht="15">
      <c r="A96" s="79" t="s">
        <v>235</v>
      </c>
      <c r="B96" s="112" t="s">
        <v>542</v>
      </c>
      <c r="C96" s="79">
        <f>VLOOKUP(GroupVertices[[#This Row],[Vertex]],Vertices[],MATCH("ID",Vertices[[#Headers],[Vertex]:[Top Word Pairs in Description by Salience]],0),FALSE)</f>
        <v>99</v>
      </c>
    </row>
    <row r="97" spans="1:3" ht="15">
      <c r="A97" s="79" t="s">
        <v>235</v>
      </c>
      <c r="B97" s="112" t="s">
        <v>541</v>
      </c>
      <c r="C97" s="79">
        <f>VLOOKUP(GroupVertices[[#This Row],[Vertex]],Vertices[],MATCH("ID",Vertices[[#Headers],[Vertex]:[Top Word Pairs in Description by Salience]],0),FALSE)</f>
        <v>98</v>
      </c>
    </row>
    <row r="98" spans="1:3" ht="15">
      <c r="A98" s="79" t="s">
        <v>235</v>
      </c>
      <c r="B98" s="112" t="s">
        <v>540</v>
      </c>
      <c r="C98" s="79">
        <f>VLOOKUP(GroupVertices[[#This Row],[Vertex]],Vertices[],MATCH("ID",Vertices[[#Headers],[Vertex]:[Top Word Pairs in Description by Salience]],0),FALSE)</f>
        <v>97</v>
      </c>
    </row>
    <row r="99" spans="1:3" ht="15">
      <c r="A99" s="79" t="s">
        <v>235</v>
      </c>
      <c r="B99" s="112" t="s">
        <v>539</v>
      </c>
      <c r="C99" s="79">
        <f>VLOOKUP(GroupVertices[[#This Row],[Vertex]],Vertices[],MATCH("ID",Vertices[[#Headers],[Vertex]:[Top Word Pairs in Description by Salience]],0),FALSE)</f>
        <v>96</v>
      </c>
    </row>
    <row r="100" spans="1:3" ht="15">
      <c r="A100" s="79" t="s">
        <v>235</v>
      </c>
      <c r="B100" s="112" t="s">
        <v>538</v>
      </c>
      <c r="C100" s="79">
        <f>VLOOKUP(GroupVertices[[#This Row],[Vertex]],Vertices[],MATCH("ID",Vertices[[#Headers],[Vertex]:[Top Word Pairs in Description by Salience]],0),FALSE)</f>
        <v>95</v>
      </c>
    </row>
    <row r="101" spans="1:3" ht="15">
      <c r="A101" s="79" t="s">
        <v>235</v>
      </c>
      <c r="B101" s="112" t="s">
        <v>536</v>
      </c>
      <c r="C101" s="79">
        <f>VLOOKUP(GroupVertices[[#This Row],[Vertex]],Vertices[],MATCH("ID",Vertices[[#Headers],[Vertex]:[Top Word Pairs in Description by Salience]],0),FALSE)</f>
        <v>94</v>
      </c>
    </row>
    <row r="102" spans="1:3" ht="15">
      <c r="A102" s="79" t="s">
        <v>235</v>
      </c>
      <c r="B102" s="112" t="s">
        <v>535</v>
      </c>
      <c r="C102" s="79">
        <f>VLOOKUP(GroupVertices[[#This Row],[Vertex]],Vertices[],MATCH("ID",Vertices[[#Headers],[Vertex]:[Top Word Pairs in Description by Salience]],0),FALSE)</f>
        <v>92</v>
      </c>
    </row>
    <row r="103" spans="1:3" ht="15">
      <c r="A103" s="79" t="s">
        <v>235</v>
      </c>
      <c r="B103" s="112" t="s">
        <v>534</v>
      </c>
      <c r="C103" s="79">
        <f>VLOOKUP(GroupVertices[[#This Row],[Vertex]],Vertices[],MATCH("ID",Vertices[[#Headers],[Vertex]:[Top Word Pairs in Description by Salience]],0),FALSE)</f>
        <v>91</v>
      </c>
    </row>
    <row r="104" spans="1:3" ht="15">
      <c r="A104" s="79" t="s">
        <v>236</v>
      </c>
      <c r="B104" s="112" t="s">
        <v>460</v>
      </c>
      <c r="C104" s="79">
        <f>VLOOKUP(GroupVertices[[#This Row],[Vertex]],Vertices[],MATCH("ID",Vertices[[#Headers],[Vertex]:[Top Word Pairs in Description by Salience]],0),FALSE)</f>
        <v>17</v>
      </c>
    </row>
    <row r="105" spans="1:3" ht="15">
      <c r="A105" s="79" t="s">
        <v>236</v>
      </c>
      <c r="B105" s="112" t="s">
        <v>451</v>
      </c>
      <c r="C105" s="79">
        <f>VLOOKUP(GroupVertices[[#This Row],[Vertex]],Vertices[],MATCH("ID",Vertices[[#Headers],[Vertex]:[Top Word Pairs in Description by Salience]],0),FALSE)</f>
        <v>8</v>
      </c>
    </row>
    <row r="106" spans="1:3" ht="15">
      <c r="A106" s="79" t="s">
        <v>236</v>
      </c>
      <c r="B106" s="112" t="s">
        <v>459</v>
      </c>
      <c r="C106" s="79">
        <f>VLOOKUP(GroupVertices[[#This Row],[Vertex]],Vertices[],MATCH("ID",Vertices[[#Headers],[Vertex]:[Top Word Pairs in Description by Salience]],0),FALSE)</f>
        <v>16</v>
      </c>
    </row>
    <row r="107" spans="1:3" ht="15">
      <c r="A107" s="79" t="s">
        <v>236</v>
      </c>
      <c r="B107" s="112" t="s">
        <v>458</v>
      </c>
      <c r="C107" s="79">
        <f>VLOOKUP(GroupVertices[[#This Row],[Vertex]],Vertices[],MATCH("ID",Vertices[[#Headers],[Vertex]:[Top Word Pairs in Description by Salience]],0),FALSE)</f>
        <v>15</v>
      </c>
    </row>
    <row r="108" spans="1:3" ht="15">
      <c r="A108" s="79" t="s">
        <v>236</v>
      </c>
      <c r="B108" s="112" t="s">
        <v>457</v>
      </c>
      <c r="C108" s="79">
        <f>VLOOKUP(GroupVertices[[#This Row],[Vertex]],Vertices[],MATCH("ID",Vertices[[#Headers],[Vertex]:[Top Word Pairs in Description by Salience]],0),FALSE)</f>
        <v>14</v>
      </c>
    </row>
    <row r="109" spans="1:3" ht="15">
      <c r="A109" s="79" t="s">
        <v>236</v>
      </c>
      <c r="B109" s="112" t="s">
        <v>456</v>
      </c>
      <c r="C109" s="79">
        <f>VLOOKUP(GroupVertices[[#This Row],[Vertex]],Vertices[],MATCH("ID",Vertices[[#Headers],[Vertex]:[Top Word Pairs in Description by Salience]],0),FALSE)</f>
        <v>13</v>
      </c>
    </row>
    <row r="110" spans="1:3" ht="15">
      <c r="A110" s="79" t="s">
        <v>236</v>
      </c>
      <c r="B110" s="112" t="s">
        <v>455</v>
      </c>
      <c r="C110" s="79">
        <f>VLOOKUP(GroupVertices[[#This Row],[Vertex]],Vertices[],MATCH("ID",Vertices[[#Headers],[Vertex]:[Top Word Pairs in Description by Salience]],0),FALSE)</f>
        <v>12</v>
      </c>
    </row>
    <row r="111" spans="1:3" ht="15">
      <c r="A111" s="79" t="s">
        <v>236</v>
      </c>
      <c r="B111" s="112" t="s">
        <v>454</v>
      </c>
      <c r="C111" s="79">
        <f>VLOOKUP(GroupVertices[[#This Row],[Vertex]],Vertices[],MATCH("ID",Vertices[[#Headers],[Vertex]:[Top Word Pairs in Description by Salience]],0),FALSE)</f>
        <v>11</v>
      </c>
    </row>
    <row r="112" spans="1:3" ht="15">
      <c r="A112" s="79" t="s">
        <v>236</v>
      </c>
      <c r="B112" s="112" t="s">
        <v>453</v>
      </c>
      <c r="C112" s="79">
        <f>VLOOKUP(GroupVertices[[#This Row],[Vertex]],Vertices[],MATCH("ID",Vertices[[#Headers],[Vertex]:[Top Word Pairs in Description by Salience]],0),FALSE)</f>
        <v>10</v>
      </c>
    </row>
    <row r="113" spans="1:3" ht="15">
      <c r="A113" s="79" t="s">
        <v>236</v>
      </c>
      <c r="B113" s="112" t="s">
        <v>452</v>
      </c>
      <c r="C113" s="79">
        <f>VLOOKUP(GroupVertices[[#This Row],[Vertex]],Vertices[],MATCH("ID",Vertices[[#Headers],[Vertex]:[Top Word Pairs in Description by Salience]],0),FALSE)</f>
        <v>9</v>
      </c>
    </row>
    <row r="114" spans="1:3" ht="15">
      <c r="A114" s="79" t="s">
        <v>237</v>
      </c>
      <c r="B114" s="112" t="s">
        <v>519</v>
      </c>
      <c r="C114" s="79">
        <f>VLOOKUP(GroupVertices[[#This Row],[Vertex]],Vertices[],MATCH("ID",Vertices[[#Headers],[Vertex]:[Top Word Pairs in Description by Salience]],0),FALSE)</f>
        <v>76</v>
      </c>
    </row>
    <row r="115" spans="1:3" ht="15">
      <c r="A115" s="79" t="s">
        <v>237</v>
      </c>
      <c r="B115" s="112" t="s">
        <v>511</v>
      </c>
      <c r="C115" s="79">
        <f>VLOOKUP(GroupVertices[[#This Row],[Vertex]],Vertices[],MATCH("ID",Vertices[[#Headers],[Vertex]:[Top Word Pairs in Description by Salience]],0),FALSE)</f>
        <v>68</v>
      </c>
    </row>
    <row r="116" spans="1:3" ht="15">
      <c r="A116" s="79" t="s">
        <v>237</v>
      </c>
      <c r="B116" s="112" t="s">
        <v>518</v>
      </c>
      <c r="C116" s="79">
        <f>VLOOKUP(GroupVertices[[#This Row],[Vertex]],Vertices[],MATCH("ID",Vertices[[#Headers],[Vertex]:[Top Word Pairs in Description by Salience]],0),FALSE)</f>
        <v>75</v>
      </c>
    </row>
    <row r="117" spans="1:3" ht="15">
      <c r="A117" s="79" t="s">
        <v>237</v>
      </c>
      <c r="B117" s="112" t="s">
        <v>517</v>
      </c>
      <c r="C117" s="79">
        <f>VLOOKUP(GroupVertices[[#This Row],[Vertex]],Vertices[],MATCH("ID",Vertices[[#Headers],[Vertex]:[Top Word Pairs in Description by Salience]],0),FALSE)</f>
        <v>74</v>
      </c>
    </row>
    <row r="118" spans="1:3" ht="15">
      <c r="A118" s="79" t="s">
        <v>237</v>
      </c>
      <c r="B118" s="112" t="s">
        <v>516</v>
      </c>
      <c r="C118" s="79">
        <f>VLOOKUP(GroupVertices[[#This Row],[Vertex]],Vertices[],MATCH("ID",Vertices[[#Headers],[Vertex]:[Top Word Pairs in Description by Salience]],0),FALSE)</f>
        <v>73</v>
      </c>
    </row>
    <row r="119" spans="1:3" ht="15">
      <c r="A119" s="79" t="s">
        <v>237</v>
      </c>
      <c r="B119" s="112" t="s">
        <v>515</v>
      </c>
      <c r="C119" s="79">
        <f>VLOOKUP(GroupVertices[[#This Row],[Vertex]],Vertices[],MATCH("ID",Vertices[[#Headers],[Vertex]:[Top Word Pairs in Description by Salience]],0),FALSE)</f>
        <v>72</v>
      </c>
    </row>
    <row r="120" spans="1:3" ht="15">
      <c r="A120" s="79" t="s">
        <v>237</v>
      </c>
      <c r="B120" s="112" t="s">
        <v>514</v>
      </c>
      <c r="C120" s="79">
        <f>VLOOKUP(GroupVertices[[#This Row],[Vertex]],Vertices[],MATCH("ID",Vertices[[#Headers],[Vertex]:[Top Word Pairs in Description by Salience]],0),FALSE)</f>
        <v>71</v>
      </c>
    </row>
    <row r="121" spans="1:3" ht="15">
      <c r="A121" s="79" t="s">
        <v>237</v>
      </c>
      <c r="B121" s="112" t="s">
        <v>513</v>
      </c>
      <c r="C121" s="79">
        <f>VLOOKUP(GroupVertices[[#This Row],[Vertex]],Vertices[],MATCH("ID",Vertices[[#Headers],[Vertex]:[Top Word Pairs in Description by Salience]],0),FALSE)</f>
        <v>70</v>
      </c>
    </row>
    <row r="122" spans="1:3" ht="15">
      <c r="A122" s="79" t="s">
        <v>237</v>
      </c>
      <c r="B122" s="112" t="s">
        <v>512</v>
      </c>
      <c r="C122" s="79">
        <f>VLOOKUP(GroupVertices[[#This Row],[Vertex]],Vertices[],MATCH("ID",Vertices[[#Headers],[Vertex]:[Top Word Pairs in Description by Salience]],0),FALSE)</f>
        <v>69</v>
      </c>
    </row>
    <row r="123" spans="1:3" ht="15">
      <c r="A123" s="79" t="s">
        <v>238</v>
      </c>
      <c r="B123" s="112" t="s">
        <v>510</v>
      </c>
      <c r="C123" s="79">
        <f>VLOOKUP(GroupVertices[[#This Row],[Vertex]],Vertices[],MATCH("ID",Vertices[[#Headers],[Vertex]:[Top Word Pairs in Description by Salience]],0),FALSE)</f>
        <v>67</v>
      </c>
    </row>
    <row r="124" spans="1:3" ht="15">
      <c r="A124" s="79" t="s">
        <v>238</v>
      </c>
      <c r="B124" s="112" t="s">
        <v>504</v>
      </c>
      <c r="C124" s="79">
        <f>VLOOKUP(GroupVertices[[#This Row],[Vertex]],Vertices[],MATCH("ID",Vertices[[#Headers],[Vertex]:[Top Word Pairs in Description by Salience]],0),FALSE)</f>
        <v>61</v>
      </c>
    </row>
    <row r="125" spans="1:3" ht="15">
      <c r="A125" s="79" t="s">
        <v>238</v>
      </c>
      <c r="B125" s="112" t="s">
        <v>509</v>
      </c>
      <c r="C125" s="79">
        <f>VLOOKUP(GroupVertices[[#This Row],[Vertex]],Vertices[],MATCH("ID",Vertices[[#Headers],[Vertex]:[Top Word Pairs in Description by Salience]],0),FALSE)</f>
        <v>66</v>
      </c>
    </row>
    <row r="126" spans="1:3" ht="15">
      <c r="A126" s="79" t="s">
        <v>238</v>
      </c>
      <c r="B126" s="112" t="s">
        <v>508</v>
      </c>
      <c r="C126" s="79">
        <f>VLOOKUP(GroupVertices[[#This Row],[Vertex]],Vertices[],MATCH("ID",Vertices[[#Headers],[Vertex]:[Top Word Pairs in Description by Salience]],0),FALSE)</f>
        <v>65</v>
      </c>
    </row>
    <row r="127" spans="1:3" ht="15">
      <c r="A127" s="79" t="s">
        <v>238</v>
      </c>
      <c r="B127" s="112" t="s">
        <v>507</v>
      </c>
      <c r="C127" s="79">
        <f>VLOOKUP(GroupVertices[[#This Row],[Vertex]],Vertices[],MATCH("ID",Vertices[[#Headers],[Vertex]:[Top Word Pairs in Description by Salience]],0),FALSE)</f>
        <v>64</v>
      </c>
    </row>
    <row r="128" spans="1:3" ht="15">
      <c r="A128" s="79" t="s">
        <v>238</v>
      </c>
      <c r="B128" s="112" t="s">
        <v>506</v>
      </c>
      <c r="C128" s="79">
        <f>VLOOKUP(GroupVertices[[#This Row],[Vertex]],Vertices[],MATCH("ID",Vertices[[#Headers],[Vertex]:[Top Word Pairs in Description by Salience]],0),FALSE)</f>
        <v>63</v>
      </c>
    </row>
    <row r="129" spans="1:3" ht="15">
      <c r="A129" s="79" t="s">
        <v>238</v>
      </c>
      <c r="B129" s="112" t="s">
        <v>505</v>
      </c>
      <c r="C129" s="79">
        <f>VLOOKUP(GroupVertices[[#This Row],[Vertex]],Vertices[],MATCH("ID",Vertices[[#Headers],[Vertex]:[Top Word Pairs in Description by Salience]],0),FALSE)</f>
        <v>62</v>
      </c>
    </row>
    <row r="130" spans="1:3" ht="15">
      <c r="A130" s="79" t="s">
        <v>239</v>
      </c>
      <c r="B130" s="112" t="s">
        <v>602</v>
      </c>
      <c r="C130" s="79">
        <f>VLOOKUP(GroupVertices[[#This Row],[Vertex]],Vertices[],MATCH("ID",Vertices[[#Headers],[Vertex]:[Top Word Pairs in Description by Salience]],0),FALSE)</f>
        <v>159</v>
      </c>
    </row>
    <row r="131" spans="1:3" ht="15">
      <c r="A131" s="79" t="s">
        <v>239</v>
      </c>
      <c r="B131" s="112" t="s">
        <v>600</v>
      </c>
      <c r="C131" s="79">
        <f>VLOOKUP(GroupVertices[[#This Row],[Vertex]],Vertices[],MATCH("ID",Vertices[[#Headers],[Vertex]:[Top Word Pairs in Description by Salience]],0),FALSE)</f>
        <v>157</v>
      </c>
    </row>
    <row r="132" spans="1:3" ht="15">
      <c r="A132" s="79" t="s">
        <v>239</v>
      </c>
      <c r="B132" s="112" t="s">
        <v>601</v>
      </c>
      <c r="C132" s="79">
        <f>VLOOKUP(GroupVertices[[#This Row],[Vertex]],Vertices[],MATCH("ID",Vertices[[#Headers],[Vertex]:[Top Word Pairs in Description by Salience]],0),FALSE)</f>
        <v>158</v>
      </c>
    </row>
    <row r="133" spans="1:3" ht="15">
      <c r="A133" s="79" t="s">
        <v>239</v>
      </c>
      <c r="B133" s="112" t="s">
        <v>595</v>
      </c>
      <c r="C133" s="79">
        <f>VLOOKUP(GroupVertices[[#This Row],[Vertex]],Vertices[],MATCH("ID",Vertices[[#Headers],[Vertex]:[Top Word Pairs in Description by Salience]],0),FALSE)</f>
        <v>152</v>
      </c>
    </row>
    <row r="134" spans="1:3" ht="15">
      <c r="A134" s="79" t="s">
        <v>239</v>
      </c>
      <c r="B134" s="112" t="s">
        <v>596</v>
      </c>
      <c r="C134" s="79">
        <f>VLOOKUP(GroupVertices[[#This Row],[Vertex]],Vertices[],MATCH("ID",Vertices[[#Headers],[Vertex]:[Top Word Pairs in Description by Salience]],0),FALSE)</f>
        <v>153</v>
      </c>
    </row>
    <row r="135" spans="1:3" ht="15">
      <c r="A135" s="79" t="s">
        <v>239</v>
      </c>
      <c r="B135" s="112" t="s">
        <v>594</v>
      </c>
      <c r="C135" s="79">
        <f>VLOOKUP(GroupVertices[[#This Row],[Vertex]],Vertices[],MATCH("ID",Vertices[[#Headers],[Vertex]:[Top Word Pairs in Description by Salience]],0),FALSE)</f>
        <v>151</v>
      </c>
    </row>
    <row r="136" spans="1:3" ht="15">
      <c r="A136" s="79" t="s">
        <v>240</v>
      </c>
      <c r="B136" s="112" t="s">
        <v>599</v>
      </c>
      <c r="C136" s="79">
        <f>VLOOKUP(GroupVertices[[#This Row],[Vertex]],Vertices[],MATCH("ID",Vertices[[#Headers],[Vertex]:[Top Word Pairs in Description by Salience]],0),FALSE)</f>
        <v>156</v>
      </c>
    </row>
    <row r="137" spans="1:3" ht="15">
      <c r="A137" s="79" t="s">
        <v>240</v>
      </c>
      <c r="B137" s="112" t="s">
        <v>568</v>
      </c>
      <c r="C137" s="79">
        <f>VLOOKUP(GroupVertices[[#This Row],[Vertex]],Vertices[],MATCH("ID",Vertices[[#Headers],[Vertex]:[Top Word Pairs in Description by Salience]],0),FALSE)</f>
        <v>125</v>
      </c>
    </row>
    <row r="138" spans="1:3" ht="15">
      <c r="A138" s="79" t="s">
        <v>240</v>
      </c>
      <c r="B138" s="112" t="s">
        <v>598</v>
      </c>
      <c r="C138" s="79">
        <f>VLOOKUP(GroupVertices[[#This Row],[Vertex]],Vertices[],MATCH("ID",Vertices[[#Headers],[Vertex]:[Top Word Pairs in Description by Salience]],0),FALSE)</f>
        <v>155</v>
      </c>
    </row>
    <row r="139" spans="1:3" ht="15">
      <c r="A139" s="79" t="s">
        <v>240</v>
      </c>
      <c r="B139" s="112" t="s">
        <v>597</v>
      </c>
      <c r="C139" s="79">
        <f>VLOOKUP(GroupVertices[[#This Row],[Vertex]],Vertices[],MATCH("ID",Vertices[[#Headers],[Vertex]:[Top Word Pairs in Description by Salience]],0),FALSE)</f>
        <v>154</v>
      </c>
    </row>
    <row r="140" spans="1:3" ht="15">
      <c r="A140" s="79" t="s">
        <v>240</v>
      </c>
      <c r="B140" s="112" t="s">
        <v>570</v>
      </c>
      <c r="C140" s="79">
        <f>VLOOKUP(GroupVertices[[#This Row],[Vertex]],Vertices[],MATCH("ID",Vertices[[#Headers],[Vertex]:[Top Word Pairs in Description by Salience]],0),FALSE)</f>
        <v>127</v>
      </c>
    </row>
    <row r="141" spans="1:3" ht="15">
      <c r="A141" s="79" t="s">
        <v>240</v>
      </c>
      <c r="B141" s="112" t="s">
        <v>569</v>
      </c>
      <c r="C141" s="79">
        <f>VLOOKUP(GroupVertices[[#This Row],[Vertex]],Vertices[],MATCH("ID",Vertices[[#Headers],[Vertex]:[Top Word Pairs in Description by Salience]],0),FALSE)</f>
        <v>126</v>
      </c>
    </row>
    <row r="142" spans="1:3" ht="15">
      <c r="A142" s="79" t="s">
        <v>241</v>
      </c>
      <c r="B142" s="112" t="s">
        <v>525</v>
      </c>
      <c r="C142" s="79">
        <f>VLOOKUP(GroupVertices[[#This Row],[Vertex]],Vertices[],MATCH("ID",Vertices[[#Headers],[Vertex]:[Top Word Pairs in Description by Salience]],0),FALSE)</f>
        <v>82</v>
      </c>
    </row>
    <row r="143" spans="1:3" ht="15">
      <c r="A143" s="79" t="s">
        <v>241</v>
      </c>
      <c r="B143" s="112" t="s">
        <v>520</v>
      </c>
      <c r="C143" s="79">
        <f>VLOOKUP(GroupVertices[[#This Row],[Vertex]],Vertices[],MATCH("ID",Vertices[[#Headers],[Vertex]:[Top Word Pairs in Description by Salience]],0),FALSE)</f>
        <v>77</v>
      </c>
    </row>
    <row r="144" spans="1:3" ht="15">
      <c r="A144" s="79" t="s">
        <v>241</v>
      </c>
      <c r="B144" s="112" t="s">
        <v>524</v>
      </c>
      <c r="C144" s="79">
        <f>VLOOKUP(GroupVertices[[#This Row],[Vertex]],Vertices[],MATCH("ID",Vertices[[#Headers],[Vertex]:[Top Word Pairs in Description by Salience]],0),FALSE)</f>
        <v>81</v>
      </c>
    </row>
    <row r="145" spans="1:3" ht="15">
      <c r="A145" s="79" t="s">
        <v>241</v>
      </c>
      <c r="B145" s="112" t="s">
        <v>523</v>
      </c>
      <c r="C145" s="79">
        <f>VLOOKUP(GroupVertices[[#This Row],[Vertex]],Vertices[],MATCH("ID",Vertices[[#Headers],[Vertex]:[Top Word Pairs in Description by Salience]],0),FALSE)</f>
        <v>80</v>
      </c>
    </row>
    <row r="146" spans="1:3" ht="15">
      <c r="A146" s="79" t="s">
        <v>241</v>
      </c>
      <c r="B146" s="112" t="s">
        <v>522</v>
      </c>
      <c r="C146" s="79">
        <f>VLOOKUP(GroupVertices[[#This Row],[Vertex]],Vertices[],MATCH("ID",Vertices[[#Headers],[Vertex]:[Top Word Pairs in Description by Salience]],0),FALSE)</f>
        <v>79</v>
      </c>
    </row>
    <row r="147" spans="1:3" ht="15">
      <c r="A147" s="79" t="s">
        <v>241</v>
      </c>
      <c r="B147" s="112" t="s">
        <v>521</v>
      </c>
      <c r="C147" s="79">
        <f>VLOOKUP(GroupVertices[[#This Row],[Vertex]],Vertices[],MATCH("ID",Vertices[[#Headers],[Vertex]:[Top Word Pairs in Description by Salience]],0),FALSE)</f>
        <v>78</v>
      </c>
    </row>
    <row r="148" spans="1:3" ht="15">
      <c r="A148" s="79" t="s">
        <v>242</v>
      </c>
      <c r="B148" s="112" t="s">
        <v>490</v>
      </c>
      <c r="C148" s="79">
        <f>VLOOKUP(GroupVertices[[#This Row],[Vertex]],Vertices[],MATCH("ID",Vertices[[#Headers],[Vertex]:[Top Word Pairs in Description by Salience]],0),FALSE)</f>
        <v>47</v>
      </c>
    </row>
    <row r="149" spans="1:3" ht="15">
      <c r="A149" s="79" t="s">
        <v>242</v>
      </c>
      <c r="B149" s="112" t="s">
        <v>469</v>
      </c>
      <c r="C149" s="79">
        <f>VLOOKUP(GroupVertices[[#This Row],[Vertex]],Vertices[],MATCH("ID",Vertices[[#Headers],[Vertex]:[Top Word Pairs in Description by Salience]],0),FALSE)</f>
        <v>28</v>
      </c>
    </row>
    <row r="150" spans="1:3" ht="15">
      <c r="A150" s="79" t="s">
        <v>242</v>
      </c>
      <c r="B150" s="112" t="s">
        <v>470</v>
      </c>
      <c r="C150" s="79">
        <f>VLOOKUP(GroupVertices[[#This Row],[Vertex]],Vertices[],MATCH("ID",Vertices[[#Headers],[Vertex]:[Top Word Pairs in Description by Salience]],0),FALSE)</f>
        <v>25</v>
      </c>
    </row>
    <row r="151" spans="1:3" ht="15">
      <c r="A151" s="79" t="s">
        <v>242</v>
      </c>
      <c r="B151" s="112" t="s">
        <v>468</v>
      </c>
      <c r="C151" s="79">
        <f>VLOOKUP(GroupVertices[[#This Row],[Vertex]],Vertices[],MATCH("ID",Vertices[[#Headers],[Vertex]:[Top Word Pairs in Description by Salience]],0),FALSE)</f>
        <v>27</v>
      </c>
    </row>
    <row r="152" spans="1:3" ht="15">
      <c r="A152" s="79" t="s">
        <v>242</v>
      </c>
      <c r="B152" s="112" t="s">
        <v>467</v>
      </c>
      <c r="C152" s="79">
        <f>VLOOKUP(GroupVertices[[#This Row],[Vertex]],Vertices[],MATCH("ID",Vertices[[#Headers],[Vertex]:[Top Word Pairs in Description by Salience]],0),FALSE)</f>
        <v>26</v>
      </c>
    </row>
    <row r="153" spans="1:3" ht="15">
      <c r="A153" s="79" t="s">
        <v>242</v>
      </c>
      <c r="B153" s="112" t="s">
        <v>466</v>
      </c>
      <c r="C153" s="79">
        <f>VLOOKUP(GroupVertices[[#This Row],[Vertex]],Vertices[],MATCH("ID",Vertices[[#Headers],[Vertex]:[Top Word Pairs in Description by Salience]],0),FALSE)</f>
        <v>24</v>
      </c>
    </row>
    <row r="154" spans="1:3" ht="15">
      <c r="A154" s="79" t="s">
        <v>243</v>
      </c>
      <c r="B154" s="112" t="s">
        <v>481</v>
      </c>
      <c r="C154" s="79">
        <f>VLOOKUP(GroupVertices[[#This Row],[Vertex]],Vertices[],MATCH("ID",Vertices[[#Headers],[Vertex]:[Top Word Pairs in Description by Salience]],0),FALSE)</f>
        <v>39</v>
      </c>
    </row>
    <row r="155" spans="1:3" ht="15">
      <c r="A155" s="79" t="s">
        <v>243</v>
      </c>
      <c r="B155" s="112" t="s">
        <v>482</v>
      </c>
      <c r="C155" s="79">
        <f>VLOOKUP(GroupVertices[[#This Row],[Vertex]],Vertices[],MATCH("ID",Vertices[[#Headers],[Vertex]:[Top Word Pairs in Description by Salience]],0),FALSE)</f>
        <v>38</v>
      </c>
    </row>
    <row r="156" spans="1:3" ht="15">
      <c r="A156" s="79" t="s">
        <v>243</v>
      </c>
      <c r="B156" s="112" t="s">
        <v>480</v>
      </c>
      <c r="C156" s="79">
        <f>VLOOKUP(GroupVertices[[#This Row],[Vertex]],Vertices[],MATCH("ID",Vertices[[#Headers],[Vertex]:[Top Word Pairs in Description by Salience]],0),FALSE)</f>
        <v>21</v>
      </c>
    </row>
    <row r="157" spans="1:3" ht="15">
      <c r="A157" s="79" t="s">
        <v>243</v>
      </c>
      <c r="B157" s="112" t="s">
        <v>465</v>
      </c>
      <c r="C157" s="79">
        <f>VLOOKUP(GroupVertices[[#This Row],[Vertex]],Vertices[],MATCH("ID",Vertices[[#Headers],[Vertex]:[Top Word Pairs in Description by Salience]],0),FALSE)</f>
        <v>23</v>
      </c>
    </row>
    <row r="158" spans="1:3" ht="15">
      <c r="A158" s="79" t="s">
        <v>243</v>
      </c>
      <c r="B158" s="112" t="s">
        <v>464</v>
      </c>
      <c r="C158" s="79">
        <f>VLOOKUP(GroupVertices[[#This Row],[Vertex]],Vertices[],MATCH("ID",Vertices[[#Headers],[Vertex]:[Top Word Pairs in Description by Salience]],0),FALSE)</f>
        <v>22</v>
      </c>
    </row>
    <row r="159" spans="1:3" ht="15">
      <c r="A159" s="79" t="s">
        <v>243</v>
      </c>
      <c r="B159" s="112" t="s">
        <v>463</v>
      </c>
      <c r="C159" s="79">
        <f>VLOOKUP(GroupVertices[[#This Row],[Vertex]],Vertices[],MATCH("ID",Vertices[[#Headers],[Vertex]:[Top Word Pairs in Description by Salience]],0),FALSE)</f>
        <v>20</v>
      </c>
    </row>
    <row r="160" spans="1:3" ht="15">
      <c r="A160" s="79" t="s">
        <v>244</v>
      </c>
      <c r="B160" s="112" t="s">
        <v>567</v>
      </c>
      <c r="C160" s="79">
        <f>VLOOKUP(GroupVertices[[#This Row],[Vertex]],Vertices[],MATCH("ID",Vertices[[#Headers],[Vertex]:[Top Word Pairs in Description by Salience]],0),FALSE)</f>
        <v>124</v>
      </c>
    </row>
    <row r="161" spans="1:3" ht="15">
      <c r="A161" s="79" t="s">
        <v>244</v>
      </c>
      <c r="B161" s="112" t="s">
        <v>499</v>
      </c>
      <c r="C161" s="79">
        <f>VLOOKUP(GroupVertices[[#This Row],[Vertex]],Vertices[],MATCH("ID",Vertices[[#Headers],[Vertex]:[Top Word Pairs in Description by Salience]],0),FALSE)</f>
        <v>56</v>
      </c>
    </row>
    <row r="162" spans="1:3" ht="15">
      <c r="A162" s="79" t="s">
        <v>244</v>
      </c>
      <c r="B162" s="112" t="s">
        <v>566</v>
      </c>
      <c r="C162" s="79">
        <f>VLOOKUP(GroupVertices[[#This Row],[Vertex]],Vertices[],MATCH("ID",Vertices[[#Headers],[Vertex]:[Top Word Pairs in Description by Salience]],0),FALSE)</f>
        <v>123</v>
      </c>
    </row>
    <row r="163" spans="1:3" ht="15">
      <c r="A163" s="79" t="s">
        <v>244</v>
      </c>
      <c r="B163" s="112" t="s">
        <v>501</v>
      </c>
      <c r="C163" s="79">
        <f>VLOOKUP(GroupVertices[[#This Row],[Vertex]],Vertices[],MATCH("ID",Vertices[[#Headers],[Vertex]:[Top Word Pairs in Description by Salience]],0),FALSE)</f>
        <v>58</v>
      </c>
    </row>
    <row r="164" spans="1:3" ht="15">
      <c r="A164" s="79" t="s">
        <v>244</v>
      </c>
      <c r="B164" s="112" t="s">
        <v>500</v>
      </c>
      <c r="C164" s="79">
        <f>VLOOKUP(GroupVertices[[#This Row],[Vertex]],Vertices[],MATCH("ID",Vertices[[#Headers],[Vertex]:[Top Word Pairs in Description by Salience]],0),FALSE)</f>
        <v>57</v>
      </c>
    </row>
    <row r="165" spans="1:3" ht="15">
      <c r="A165" s="79" t="s">
        <v>245</v>
      </c>
      <c r="B165" s="112" t="s">
        <v>610</v>
      </c>
      <c r="C165" s="79">
        <f>VLOOKUP(GroupVertices[[#This Row],[Vertex]],Vertices[],MATCH("ID",Vertices[[#Headers],[Vertex]:[Top Word Pairs in Description by Salience]],0),FALSE)</f>
        <v>167</v>
      </c>
    </row>
    <row r="166" spans="1:3" ht="15">
      <c r="A166" s="79" t="s">
        <v>245</v>
      </c>
      <c r="B166" s="112" t="s">
        <v>607</v>
      </c>
      <c r="C166" s="79">
        <f>VLOOKUP(GroupVertices[[#This Row],[Vertex]],Vertices[],MATCH("ID",Vertices[[#Headers],[Vertex]:[Top Word Pairs in Description by Salience]],0),FALSE)</f>
        <v>164</v>
      </c>
    </row>
    <row r="167" spans="1:3" ht="15">
      <c r="A167" s="79" t="s">
        <v>245</v>
      </c>
      <c r="B167" s="112" t="s">
        <v>609</v>
      </c>
      <c r="C167" s="79">
        <f>VLOOKUP(GroupVertices[[#This Row],[Vertex]],Vertices[],MATCH("ID",Vertices[[#Headers],[Vertex]:[Top Word Pairs in Description by Salience]],0),FALSE)</f>
        <v>166</v>
      </c>
    </row>
    <row r="168" spans="1:3" ht="15">
      <c r="A168" s="79" t="s">
        <v>245</v>
      </c>
      <c r="B168" s="112" t="s">
        <v>608</v>
      </c>
      <c r="C168" s="79">
        <f>VLOOKUP(GroupVertices[[#This Row],[Vertex]],Vertices[],MATCH("ID",Vertices[[#Headers],[Vertex]:[Top Word Pairs in Description by Salience]],0),FALSE)</f>
        <v>165</v>
      </c>
    </row>
    <row r="169" spans="1:3" ht="15">
      <c r="A169" s="79" t="s">
        <v>246</v>
      </c>
      <c r="B169" s="112" t="s">
        <v>548</v>
      </c>
      <c r="C169" s="79">
        <f>VLOOKUP(GroupVertices[[#This Row],[Vertex]],Vertices[],MATCH("ID",Vertices[[#Headers],[Vertex]:[Top Word Pairs in Description by Salience]],0),FALSE)</f>
        <v>105</v>
      </c>
    </row>
    <row r="170" spans="1:3" ht="15">
      <c r="A170" s="79" t="s">
        <v>246</v>
      </c>
      <c r="B170" s="112" t="s">
        <v>545</v>
      </c>
      <c r="C170" s="79">
        <f>VLOOKUP(GroupVertices[[#This Row],[Vertex]],Vertices[],MATCH("ID",Vertices[[#Headers],[Vertex]:[Top Word Pairs in Description by Salience]],0),FALSE)</f>
        <v>102</v>
      </c>
    </row>
    <row r="171" spans="1:3" ht="15">
      <c r="A171" s="79" t="s">
        <v>246</v>
      </c>
      <c r="B171" s="112" t="s">
        <v>547</v>
      </c>
      <c r="C171" s="79">
        <f>VLOOKUP(GroupVertices[[#This Row],[Vertex]],Vertices[],MATCH("ID",Vertices[[#Headers],[Vertex]:[Top Word Pairs in Description by Salience]],0),FALSE)</f>
        <v>104</v>
      </c>
    </row>
    <row r="172" spans="1:3" ht="15">
      <c r="A172" s="79" t="s">
        <v>246</v>
      </c>
      <c r="B172" s="112" t="s">
        <v>546</v>
      </c>
      <c r="C172" s="79">
        <f>VLOOKUP(GroupVertices[[#This Row],[Vertex]],Vertices[],MATCH("ID",Vertices[[#Headers],[Vertex]:[Top Word Pairs in Description by Salience]],0),FALSE)</f>
        <v>103</v>
      </c>
    </row>
    <row r="173" spans="1:3" ht="15">
      <c r="A173" s="79" t="s">
        <v>247</v>
      </c>
      <c r="B173" s="112" t="s">
        <v>533</v>
      </c>
      <c r="C173" s="79">
        <f>VLOOKUP(GroupVertices[[#This Row],[Vertex]],Vertices[],MATCH("ID",Vertices[[#Headers],[Vertex]:[Top Word Pairs in Description by Salience]],0),FALSE)</f>
        <v>90</v>
      </c>
    </row>
    <row r="174" spans="1:3" ht="15">
      <c r="A174" s="79" t="s">
        <v>247</v>
      </c>
      <c r="B174" s="112" t="s">
        <v>530</v>
      </c>
      <c r="C174" s="79">
        <f>VLOOKUP(GroupVertices[[#This Row],[Vertex]],Vertices[],MATCH("ID",Vertices[[#Headers],[Vertex]:[Top Word Pairs in Description by Salience]],0),FALSE)</f>
        <v>87</v>
      </c>
    </row>
    <row r="175" spans="1:3" ht="15">
      <c r="A175" s="79" t="s">
        <v>247</v>
      </c>
      <c r="B175" s="112" t="s">
        <v>532</v>
      </c>
      <c r="C175" s="79">
        <f>VLOOKUP(GroupVertices[[#This Row],[Vertex]],Vertices[],MATCH("ID",Vertices[[#Headers],[Vertex]:[Top Word Pairs in Description by Salience]],0),FALSE)</f>
        <v>89</v>
      </c>
    </row>
    <row r="176" spans="1:3" ht="15">
      <c r="A176" s="79" t="s">
        <v>247</v>
      </c>
      <c r="B176" s="112" t="s">
        <v>531</v>
      </c>
      <c r="C176" s="79">
        <f>VLOOKUP(GroupVertices[[#This Row],[Vertex]],Vertices[],MATCH("ID",Vertices[[#Headers],[Vertex]:[Top Word Pairs in Description by Salience]],0),FALSE)</f>
        <v>88</v>
      </c>
    </row>
    <row r="177" spans="1:3" ht="15">
      <c r="A177" s="79" t="s">
        <v>248</v>
      </c>
      <c r="B177" s="112" t="s">
        <v>573</v>
      </c>
      <c r="C177" s="79">
        <f>VLOOKUP(GroupVertices[[#This Row],[Vertex]],Vertices[],MATCH("ID",Vertices[[#Headers],[Vertex]:[Top Word Pairs in Description by Salience]],0),FALSE)</f>
        <v>130</v>
      </c>
    </row>
    <row r="178" spans="1:3" ht="15">
      <c r="A178" s="79" t="s">
        <v>248</v>
      </c>
      <c r="B178" s="112" t="s">
        <v>571</v>
      </c>
      <c r="C178" s="79">
        <f>VLOOKUP(GroupVertices[[#This Row],[Vertex]],Vertices[],MATCH("ID",Vertices[[#Headers],[Vertex]:[Top Word Pairs in Description by Salience]],0),FALSE)</f>
        <v>128</v>
      </c>
    </row>
    <row r="179" spans="1:3" ht="15">
      <c r="A179" s="79" t="s">
        <v>248</v>
      </c>
      <c r="B179" s="112" t="s">
        <v>572</v>
      </c>
      <c r="C179" s="79">
        <f>VLOOKUP(GroupVertices[[#This Row],[Vertex]],Vertices[],MATCH("ID",Vertices[[#Headers],[Vertex]:[Top Word Pairs in Description by Salience]],0),FALSE)</f>
        <v>129</v>
      </c>
    </row>
    <row r="180" spans="1:3" ht="15">
      <c r="A180" s="79" t="s">
        <v>249</v>
      </c>
      <c r="B180" s="112" t="s">
        <v>565</v>
      </c>
      <c r="C180" s="79">
        <f>VLOOKUP(GroupVertices[[#This Row],[Vertex]],Vertices[],MATCH("ID",Vertices[[#Headers],[Vertex]:[Top Word Pairs in Description by Salience]],0),FALSE)</f>
        <v>122</v>
      </c>
    </row>
    <row r="181" spans="1:3" ht="15">
      <c r="A181" s="79" t="s">
        <v>249</v>
      </c>
      <c r="B181" s="112" t="s">
        <v>563</v>
      </c>
      <c r="C181" s="79">
        <f>VLOOKUP(GroupVertices[[#This Row],[Vertex]],Vertices[],MATCH("ID",Vertices[[#Headers],[Vertex]:[Top Word Pairs in Description by Salience]],0),FALSE)</f>
        <v>120</v>
      </c>
    </row>
    <row r="182" spans="1:3" ht="15">
      <c r="A182" s="79" t="s">
        <v>249</v>
      </c>
      <c r="B182" s="112" t="s">
        <v>564</v>
      </c>
      <c r="C182" s="79">
        <f>VLOOKUP(GroupVertices[[#This Row],[Vertex]],Vertices[],MATCH("ID",Vertices[[#Headers],[Vertex]:[Top Word Pairs in Description by Salience]],0),FALSE)</f>
        <v>121</v>
      </c>
    </row>
    <row r="183" spans="1:3" ht="15">
      <c r="A183" s="79" t="s">
        <v>250</v>
      </c>
      <c r="B183" s="112" t="s">
        <v>553</v>
      </c>
      <c r="C183" s="79">
        <f>VLOOKUP(GroupVertices[[#This Row],[Vertex]],Vertices[],MATCH("ID",Vertices[[#Headers],[Vertex]:[Top Word Pairs in Description by Salience]],0),FALSE)</f>
        <v>111</v>
      </c>
    </row>
    <row r="184" spans="1:3" ht="15">
      <c r="A184" s="79" t="s">
        <v>250</v>
      </c>
      <c r="B184" s="112" t="s">
        <v>554</v>
      </c>
      <c r="C184" s="79">
        <f>VLOOKUP(GroupVertices[[#This Row],[Vertex]],Vertices[],MATCH("ID",Vertices[[#Headers],[Vertex]:[Top Word Pairs in Description by Salience]],0),FALSE)</f>
        <v>110</v>
      </c>
    </row>
    <row r="185" spans="1:3" ht="15">
      <c r="A185" s="79" t="s">
        <v>250</v>
      </c>
      <c r="B185" s="112" t="s">
        <v>552</v>
      </c>
      <c r="C185" s="79">
        <f>VLOOKUP(GroupVertices[[#This Row],[Vertex]],Vertices[],MATCH("ID",Vertices[[#Headers],[Vertex]:[Top Word Pairs in Description by Salience]],0),FALSE)</f>
        <v>109</v>
      </c>
    </row>
    <row r="186" spans="1:3" ht="15">
      <c r="A186" s="79" t="s">
        <v>251</v>
      </c>
      <c r="B186" s="112" t="s">
        <v>551</v>
      </c>
      <c r="C186" s="79">
        <f>VLOOKUP(GroupVertices[[#This Row],[Vertex]],Vertices[],MATCH("ID",Vertices[[#Headers],[Vertex]:[Top Word Pairs in Description by Salience]],0),FALSE)</f>
        <v>108</v>
      </c>
    </row>
    <row r="187" spans="1:3" ht="15">
      <c r="A187" s="79" t="s">
        <v>251</v>
      </c>
      <c r="B187" s="112" t="s">
        <v>549</v>
      </c>
      <c r="C187" s="79">
        <f>VLOOKUP(GroupVertices[[#This Row],[Vertex]],Vertices[],MATCH("ID",Vertices[[#Headers],[Vertex]:[Top Word Pairs in Description by Salience]],0),FALSE)</f>
        <v>106</v>
      </c>
    </row>
    <row r="188" spans="1:3" ht="15">
      <c r="A188" s="79" t="s">
        <v>251</v>
      </c>
      <c r="B188" s="112" t="s">
        <v>550</v>
      </c>
      <c r="C188" s="79">
        <f>VLOOKUP(GroupVertices[[#This Row],[Vertex]],Vertices[],MATCH("ID",Vertices[[#Headers],[Vertex]:[Top Word Pairs in Description by Salience]],0),FALSE)</f>
        <v>107</v>
      </c>
    </row>
    <row r="189" spans="1:3" ht="15">
      <c r="A189" s="79" t="s">
        <v>252</v>
      </c>
      <c r="B189" s="112" t="s">
        <v>529</v>
      </c>
      <c r="C189" s="79">
        <f>VLOOKUP(GroupVertices[[#This Row],[Vertex]],Vertices[],MATCH("ID",Vertices[[#Headers],[Vertex]:[Top Word Pairs in Description by Salience]],0),FALSE)</f>
        <v>86</v>
      </c>
    </row>
    <row r="190" spans="1:3" ht="15">
      <c r="A190" s="79" t="s">
        <v>252</v>
      </c>
      <c r="B190" s="112" t="s">
        <v>527</v>
      </c>
      <c r="C190" s="79">
        <f>VLOOKUP(GroupVertices[[#This Row],[Vertex]],Vertices[],MATCH("ID",Vertices[[#Headers],[Vertex]:[Top Word Pairs in Description by Salience]],0),FALSE)</f>
        <v>84</v>
      </c>
    </row>
    <row r="191" spans="1:3" ht="15">
      <c r="A191" s="79" t="s">
        <v>252</v>
      </c>
      <c r="B191" s="112" t="s">
        <v>528</v>
      </c>
      <c r="C191" s="79">
        <f>VLOOKUP(GroupVertices[[#This Row],[Vertex]],Vertices[],MATCH("ID",Vertices[[#Headers],[Vertex]:[Top Word Pairs in Description by Salience]],0),FALSE)</f>
        <v>85</v>
      </c>
    </row>
    <row r="192" spans="1:3" ht="15">
      <c r="A192" s="79" t="s">
        <v>253</v>
      </c>
      <c r="B192" s="112" t="s">
        <v>478</v>
      </c>
      <c r="C192" s="79">
        <f>VLOOKUP(GroupVertices[[#This Row],[Vertex]],Vertices[],MATCH("ID",Vertices[[#Headers],[Vertex]:[Top Word Pairs in Description by Salience]],0),FALSE)</f>
        <v>37</v>
      </c>
    </row>
    <row r="193" spans="1:3" ht="15">
      <c r="A193" s="79" t="s">
        <v>253</v>
      </c>
      <c r="B193" s="112" t="s">
        <v>479</v>
      </c>
      <c r="C193" s="79">
        <f>VLOOKUP(GroupVertices[[#This Row],[Vertex]],Vertices[],MATCH("ID",Vertices[[#Headers],[Vertex]:[Top Word Pairs in Description by Salience]],0),FALSE)</f>
        <v>36</v>
      </c>
    </row>
    <row r="194" spans="1:3" ht="15">
      <c r="A194" s="79" t="s">
        <v>253</v>
      </c>
      <c r="B194" s="112" t="s">
        <v>477</v>
      </c>
      <c r="C194" s="79">
        <f>VLOOKUP(GroupVertices[[#This Row],[Vertex]],Vertices[],MATCH("ID",Vertices[[#Headers],[Vertex]:[Top Word Pairs in Description by Salience]],0),FALSE)</f>
        <v>35</v>
      </c>
    </row>
    <row r="195" spans="1:3" ht="15">
      <c r="A195" s="79" t="s">
        <v>254</v>
      </c>
      <c r="B195" s="112" t="s">
        <v>449</v>
      </c>
      <c r="C195" s="79">
        <f>VLOOKUP(GroupVertices[[#This Row],[Vertex]],Vertices[],MATCH("ID",Vertices[[#Headers],[Vertex]:[Top Word Pairs in Description by Salience]],0),FALSE)</f>
        <v>5</v>
      </c>
    </row>
    <row r="196" spans="1:3" ht="15">
      <c r="A196" s="79" t="s">
        <v>254</v>
      </c>
      <c r="B196" s="112" t="s">
        <v>448</v>
      </c>
      <c r="C196" s="79">
        <f>VLOOKUP(GroupVertices[[#This Row],[Vertex]],Vertices[],MATCH("ID",Vertices[[#Headers],[Vertex]:[Top Word Pairs in Description by Salience]],0),FALSE)</f>
        <v>3</v>
      </c>
    </row>
    <row r="197" spans="1:3" ht="15">
      <c r="A197" s="79" t="s">
        <v>254</v>
      </c>
      <c r="B197" s="112" t="s">
        <v>447</v>
      </c>
      <c r="C197" s="79">
        <f>VLOOKUP(GroupVertices[[#This Row],[Vertex]],Vertices[],MATCH("ID",Vertices[[#Headers],[Vertex]:[Top Word Pairs in Description by Salience]],0),FALSE)</f>
        <v>4</v>
      </c>
    </row>
    <row r="198" spans="1:3" ht="15">
      <c r="A198" s="79" t="s">
        <v>255</v>
      </c>
      <c r="B198" s="112" t="s">
        <v>606</v>
      </c>
      <c r="C198" s="79">
        <f>VLOOKUP(GroupVertices[[#This Row],[Vertex]],Vertices[],MATCH("ID",Vertices[[#Headers],[Vertex]:[Top Word Pairs in Description by Salience]],0),FALSE)</f>
        <v>163</v>
      </c>
    </row>
    <row r="199" spans="1:3" ht="15">
      <c r="A199" s="79" t="s">
        <v>255</v>
      </c>
      <c r="B199" s="112" t="s">
        <v>605</v>
      </c>
      <c r="C199" s="79">
        <f>VLOOKUP(GroupVertices[[#This Row],[Vertex]],Vertices[],MATCH("ID",Vertices[[#Headers],[Vertex]:[Top Word Pairs in Description by Salience]],0),FALSE)</f>
        <v>162</v>
      </c>
    </row>
    <row r="200" spans="1:3" ht="15">
      <c r="A200" s="79" t="s">
        <v>256</v>
      </c>
      <c r="B200" s="112" t="s">
        <v>503</v>
      </c>
      <c r="C200" s="79">
        <f>VLOOKUP(GroupVertices[[#This Row],[Vertex]],Vertices[],MATCH("ID",Vertices[[#Headers],[Vertex]:[Top Word Pairs in Description by Salience]],0),FALSE)</f>
        <v>60</v>
      </c>
    </row>
    <row r="201" spans="1:3" ht="15">
      <c r="A201" s="79" t="s">
        <v>256</v>
      </c>
      <c r="B201" s="112" t="s">
        <v>502</v>
      </c>
      <c r="C201" s="79">
        <f>VLOOKUP(GroupVertices[[#This Row],[Vertex]],Vertices[],MATCH("ID",Vertices[[#Headers],[Vertex]:[Top Word Pairs in Description by Salience]],0),FALSE)</f>
        <v>59</v>
      </c>
    </row>
    <row r="202" spans="1:3" ht="15">
      <c r="A202" s="79" t="s">
        <v>257</v>
      </c>
      <c r="B202" s="112" t="s">
        <v>450</v>
      </c>
      <c r="C202" s="79">
        <f>VLOOKUP(GroupVertices[[#This Row],[Vertex]],Vertices[],MATCH("ID",Vertices[[#Headers],[Vertex]:[Top Word Pairs in Description by Salience]],0),FALSE)</f>
        <v>6</v>
      </c>
    </row>
    <row r="203" spans="1:3" ht="15">
      <c r="A203" s="79" t="s">
        <v>257</v>
      </c>
      <c r="B203" s="112" t="s">
        <v>611</v>
      </c>
      <c r="C203" s="79">
        <f>VLOOKUP(GroupVertices[[#This Row],[Vertex]],Vertices[],MATCH("ID",Vertices[[#Headers],[Vertex]:[Top Word Pairs in Description by Salience]],0),FALSE)</f>
        <v>7</v>
      </c>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sheetData>
  <dataValidations count="3" xWindow="58" yWindow="226">
    <dataValidation allowBlank="1" showInputMessage="1" showErrorMessage="1" promptTitle="Group Name" prompt="Enter the name of the group.  The group name must also be entered on the Groups worksheet." sqref="A2:A203"/>
    <dataValidation allowBlank="1" showInputMessage="1" showErrorMessage="1" promptTitle="Vertex Name" prompt="Enter the name of a vertex to include in the group." sqref="B2:B203"/>
    <dataValidation allowBlank="1" showInputMessage="1" promptTitle="Vertex ID" prompt="This is the value of the hidden ID cell in the Vertices worksheet.  It gets filled in by the items on the NodeXL, Analysis, Groups menu." sqref="C2:C2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356</v>
      </c>
      <c r="B2" s="34" t="s">
        <v>191</v>
      </c>
      <c r="D2" s="31">
        <f>MIN(Vertices[Degree])</f>
        <v>0</v>
      </c>
      <c r="E2" s="3">
        <f>COUNTIF(Vertices[Degree],"&gt;= "&amp;D2)-COUNTIF(Vertices[Degree],"&gt;="&amp;D3)</f>
        <v>0</v>
      </c>
      <c r="F2" s="37">
        <f>MIN(Vertices[In-Degree])</f>
        <v>0</v>
      </c>
      <c r="G2" s="38">
        <f>COUNTIF(Vertices[In-Degree],"&gt;= "&amp;F2)-COUNTIF(Vertices[In-Degree],"&gt;="&amp;F3)</f>
        <v>64</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183</v>
      </c>
      <c r="L2" s="37">
        <f>MIN(Vertices[Closeness Centrality])</f>
        <v>0</v>
      </c>
      <c r="M2" s="38">
        <f>COUNTIF(Vertices[Closeness Centrality],"&gt;= "&amp;L2)-COUNTIF(Vertices[Closeness Centrality],"&gt;="&amp;L3)</f>
        <v>105</v>
      </c>
      <c r="N2" s="37">
        <f>MIN(Vertices[Eigenvector Centrality])</f>
        <v>0</v>
      </c>
      <c r="O2" s="38">
        <f>COUNTIF(Vertices[Eigenvector Centrality],"&gt;= "&amp;N2)-COUNTIF(Vertices[Eigenvector Centrality],"&gt;="&amp;N3)</f>
        <v>151</v>
      </c>
      <c r="P2" s="37">
        <f>MIN(Vertices[PageRank])</f>
        <v>0</v>
      </c>
      <c r="Q2" s="38">
        <f>COUNTIF(Vertices[PageRank],"&gt;= "&amp;P2)-COUNTIF(Vertices[PageRank],"&gt;="&amp;P3)</f>
        <v>37</v>
      </c>
      <c r="R2" s="37">
        <f>MIN(Vertices[Clustering Coefficient])</f>
        <v>0</v>
      </c>
      <c r="S2" s="43">
        <f>COUNTIF(Vertices[Clustering Coefficient],"&gt;= "&amp;R2)-COUNTIF(Vertices[Clustering Coefficient],"&gt;="&amp;R3)</f>
        <v>197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19"/>
      <c r="B3" s="119"/>
      <c r="D3" s="32">
        <f aca="true" t="shared" si="1" ref="D3:D26">D2+($D$50-$D$2)/BinDivisor</f>
        <v>0</v>
      </c>
      <c r="E3" s="3">
        <f>COUNTIF(Vertices[Degree],"&gt;= "&amp;D3)-COUNTIF(Vertices[Degree],"&gt;="&amp;D4)</f>
        <v>0</v>
      </c>
      <c r="F3" s="39">
        <f aca="true" t="shared" si="2" ref="F3:F26">F2+($F$50-$F$2)/BinDivisor</f>
        <v>0.6458333333333334</v>
      </c>
      <c r="G3" s="40">
        <f>COUNTIF(Vertices[In-Degree],"&gt;= "&amp;F3)-COUNTIF(Vertices[In-Degree],"&gt;="&amp;F4)</f>
        <v>89</v>
      </c>
      <c r="H3" s="39">
        <f aca="true" t="shared" si="3" ref="H3:H26">H2+($H$50-$H$2)/BinDivisor</f>
        <v>0.4375</v>
      </c>
      <c r="I3" s="40">
        <f>COUNTIF(Vertices[Out-Degree],"&gt;= "&amp;H3)-COUNTIF(Vertices[Out-Degree],"&gt;="&amp;H4)</f>
        <v>0</v>
      </c>
      <c r="J3" s="39">
        <f aca="true" t="shared" si="4" ref="J3:J26">J2+($J$50-$J$2)/BinDivisor</f>
        <v>49</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8</v>
      </c>
      <c r="N3" s="39">
        <f aca="true" t="shared" si="6" ref="N3:N26">N2+($N$50-$N$2)/BinDivisor</f>
        <v>0.0027186875</v>
      </c>
      <c r="O3" s="40">
        <f>COUNTIF(Vertices[Eigenvector Centrality],"&gt;= "&amp;N3)-COUNTIF(Vertices[Eigenvector Centrality],"&gt;="&amp;N4)</f>
        <v>13</v>
      </c>
      <c r="P3" s="39">
        <f aca="true" t="shared" si="7" ref="P3:P26">P2+($P$50-$P$2)/BinDivisor</f>
        <v>0.2561389375</v>
      </c>
      <c r="Q3" s="40">
        <f>COUNTIF(Vertices[PageRank],"&gt;= "&amp;P3)-COUNTIF(Vertices[PageRank],"&gt;="&amp;P4)</f>
        <v>25</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202</v>
      </c>
      <c r="D4" s="32">
        <f t="shared" si="1"/>
        <v>0</v>
      </c>
      <c r="E4" s="3">
        <f>COUNTIF(Vertices[Degree],"&gt;= "&amp;D4)-COUNTIF(Vertices[Degree],"&gt;="&amp;D5)</f>
        <v>0</v>
      </c>
      <c r="F4" s="37">
        <f t="shared" si="2"/>
        <v>1.2916666666666667</v>
      </c>
      <c r="G4" s="38">
        <f>COUNTIF(Vertices[In-Degree],"&gt;= "&amp;F4)-COUNTIF(Vertices[In-Degree],"&gt;="&amp;F5)</f>
        <v>0</v>
      </c>
      <c r="H4" s="37">
        <f t="shared" si="3"/>
        <v>0.875</v>
      </c>
      <c r="I4" s="38">
        <f>COUNTIF(Vertices[Out-Degree],"&gt;= "&amp;H4)-COUNTIF(Vertices[Out-Degree],"&gt;="&amp;H5)</f>
        <v>117</v>
      </c>
      <c r="J4" s="37">
        <f t="shared" si="4"/>
        <v>98</v>
      </c>
      <c r="K4" s="38">
        <f>COUNTIF(Vertices[Betweenness Centrality],"&gt;= "&amp;J4)-COUNTIF(Vertices[Betweenness Centrality],"&gt;="&amp;J5)</f>
        <v>7</v>
      </c>
      <c r="L4" s="37">
        <f t="shared" si="5"/>
        <v>0.041666666666666664</v>
      </c>
      <c r="M4" s="38">
        <f>COUNTIF(Vertices[Closeness Centrality],"&gt;= "&amp;L4)-COUNTIF(Vertices[Closeness Centrality],"&gt;="&amp;L5)</f>
        <v>16</v>
      </c>
      <c r="N4" s="37">
        <f t="shared" si="6"/>
        <v>0.005437375</v>
      </c>
      <c r="O4" s="38">
        <f>COUNTIF(Vertices[Eigenvector Centrality],"&gt;= "&amp;N4)-COUNTIF(Vertices[Eigenvector Centrality],"&gt;="&amp;N5)</f>
        <v>4</v>
      </c>
      <c r="P4" s="37">
        <f t="shared" si="7"/>
        <v>0.512277875</v>
      </c>
      <c r="Q4" s="38">
        <f>COUNTIF(Vertices[PageRank],"&gt;= "&amp;P4)-COUNTIF(Vertices[PageRank],"&gt;="&amp;P5)</f>
        <v>67</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1.9375</v>
      </c>
      <c r="G5" s="40">
        <f>COUNTIF(Vertices[In-Degree],"&gt;= "&amp;F5)-COUNTIF(Vertices[In-Degree],"&gt;="&amp;F6)</f>
        <v>24</v>
      </c>
      <c r="H5" s="39">
        <f t="shared" si="3"/>
        <v>1.3125</v>
      </c>
      <c r="I5" s="40">
        <f>COUNTIF(Vertices[Out-Degree],"&gt;= "&amp;H5)-COUNTIF(Vertices[Out-Degree],"&gt;="&amp;H6)</f>
        <v>0</v>
      </c>
      <c r="J5" s="39">
        <f t="shared" si="4"/>
        <v>147</v>
      </c>
      <c r="K5" s="40">
        <f>COUNTIF(Vertices[Betweenness Centrality],"&gt;= "&amp;J5)-COUNTIF(Vertices[Betweenness Centrality],"&gt;="&amp;J6)</f>
        <v>3</v>
      </c>
      <c r="L5" s="39">
        <f t="shared" si="5"/>
        <v>0.0625</v>
      </c>
      <c r="M5" s="40">
        <f>COUNTIF(Vertices[Closeness Centrality],"&gt;= "&amp;L5)-COUNTIF(Vertices[Closeness Centrality],"&gt;="&amp;L6)</f>
        <v>16</v>
      </c>
      <c r="N5" s="39">
        <f t="shared" si="6"/>
        <v>0.0081560625</v>
      </c>
      <c r="O5" s="40">
        <f>COUNTIF(Vertices[Eigenvector Centrality],"&gt;= "&amp;N5)-COUNTIF(Vertices[Eigenvector Centrality],"&gt;="&amp;N6)</f>
        <v>1</v>
      </c>
      <c r="P5" s="39">
        <f t="shared" si="7"/>
        <v>0.7684168124999999</v>
      </c>
      <c r="Q5" s="40">
        <f>COUNTIF(Vertices[PageRank],"&gt;= "&amp;P5)-COUNTIF(Vertices[PageRank],"&gt;="&amp;P6)</f>
        <v>29</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247</v>
      </c>
      <c r="D6" s="32">
        <f t="shared" si="1"/>
        <v>0</v>
      </c>
      <c r="E6" s="3">
        <f>COUNTIF(Vertices[Degree],"&gt;= "&amp;D6)-COUNTIF(Vertices[Degree],"&gt;="&amp;D7)</f>
        <v>0</v>
      </c>
      <c r="F6" s="37">
        <f t="shared" si="2"/>
        <v>2.5833333333333335</v>
      </c>
      <c r="G6" s="38">
        <f>COUNTIF(Vertices[In-Degree],"&gt;= "&amp;F6)-COUNTIF(Vertices[In-Degree],"&gt;="&amp;F7)</f>
        <v>14</v>
      </c>
      <c r="H6" s="37">
        <f t="shared" si="3"/>
        <v>1.75</v>
      </c>
      <c r="I6" s="38">
        <f>COUNTIF(Vertices[Out-Degree],"&gt;= "&amp;H6)-COUNTIF(Vertices[Out-Degree],"&gt;="&amp;H7)</f>
        <v>30</v>
      </c>
      <c r="J6" s="37">
        <f t="shared" si="4"/>
        <v>196</v>
      </c>
      <c r="K6" s="38">
        <f>COUNTIF(Vertices[Betweenness Centrality],"&gt;= "&amp;J6)-COUNTIF(Vertices[Betweenness Centrality],"&gt;="&amp;J7)</f>
        <v>0</v>
      </c>
      <c r="L6" s="37">
        <f t="shared" si="5"/>
        <v>0.08333333333333333</v>
      </c>
      <c r="M6" s="38">
        <f>COUNTIF(Vertices[Closeness Centrality],"&gt;= "&amp;L6)-COUNTIF(Vertices[Closeness Centrality],"&gt;="&amp;L7)</f>
        <v>3</v>
      </c>
      <c r="N6" s="37">
        <f t="shared" si="6"/>
        <v>0.01087475</v>
      </c>
      <c r="O6" s="38">
        <f>COUNTIF(Vertices[Eigenvector Centrality],"&gt;= "&amp;N6)-COUNTIF(Vertices[Eigenvector Centrality],"&gt;="&amp;N7)</f>
        <v>0</v>
      </c>
      <c r="P6" s="37">
        <f t="shared" si="7"/>
        <v>1.02455575</v>
      </c>
      <c r="Q6" s="38">
        <f>COUNTIF(Vertices[PageRank],"&gt;= "&amp;P6)-COUNTIF(Vertices[PageRank],"&gt;="&amp;P7)</f>
        <v>13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59</v>
      </c>
      <c r="D7" s="32">
        <f t="shared" si="1"/>
        <v>0</v>
      </c>
      <c r="E7" s="3">
        <f>COUNTIF(Vertices[Degree],"&gt;= "&amp;D7)-COUNTIF(Vertices[Degree],"&gt;="&amp;D8)</f>
        <v>0</v>
      </c>
      <c r="F7" s="39">
        <f t="shared" si="2"/>
        <v>3.229166666666667</v>
      </c>
      <c r="G7" s="40">
        <f>COUNTIF(Vertices[In-Degree],"&gt;= "&amp;F7)-COUNTIF(Vertices[In-Degree],"&gt;="&amp;F8)</f>
        <v>0</v>
      </c>
      <c r="H7" s="39">
        <f t="shared" si="3"/>
        <v>2.1875</v>
      </c>
      <c r="I7" s="40">
        <f>COUNTIF(Vertices[Out-Degree],"&gt;= "&amp;H7)-COUNTIF(Vertices[Out-Degree],"&gt;="&amp;H8)</f>
        <v>0</v>
      </c>
      <c r="J7" s="39">
        <f t="shared" si="4"/>
        <v>245</v>
      </c>
      <c r="K7" s="40">
        <f>COUNTIF(Vertices[Betweenness Centrality],"&gt;= "&amp;J7)-COUNTIF(Vertices[Betweenness Centrality],"&gt;="&amp;J8)</f>
        <v>2</v>
      </c>
      <c r="L7" s="39">
        <f t="shared" si="5"/>
        <v>0.10416666666666666</v>
      </c>
      <c r="M7" s="40">
        <f>COUNTIF(Vertices[Closeness Centrality],"&gt;= "&amp;L7)-COUNTIF(Vertices[Closeness Centrality],"&gt;="&amp;L8)</f>
        <v>12</v>
      </c>
      <c r="N7" s="39">
        <f t="shared" si="6"/>
        <v>0.013593437500000001</v>
      </c>
      <c r="O7" s="40">
        <f>COUNTIF(Vertices[Eigenvector Centrality],"&gt;= "&amp;N7)-COUNTIF(Vertices[Eigenvector Centrality],"&gt;="&amp;N8)</f>
        <v>1</v>
      </c>
      <c r="P7" s="39">
        <f t="shared" si="7"/>
        <v>1.2806946875</v>
      </c>
      <c r="Q7" s="40">
        <f>COUNTIF(Vertices[PageRank],"&gt;= "&amp;P7)-COUNTIF(Vertices[PageRank],"&gt;="&amp;P8)</f>
        <v>12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306</v>
      </c>
      <c r="D8" s="32">
        <f t="shared" si="1"/>
        <v>0</v>
      </c>
      <c r="E8" s="3">
        <f>COUNTIF(Vertices[Degree],"&gt;= "&amp;D8)-COUNTIF(Vertices[Degree],"&gt;="&amp;D9)</f>
        <v>0</v>
      </c>
      <c r="F8" s="37">
        <f t="shared" si="2"/>
        <v>3.8750000000000004</v>
      </c>
      <c r="G8" s="38">
        <f>COUNTIF(Vertices[In-Degree],"&gt;= "&amp;F8)-COUNTIF(Vertices[In-Degree],"&gt;="&amp;F9)</f>
        <v>1</v>
      </c>
      <c r="H8" s="37">
        <f t="shared" si="3"/>
        <v>2.625</v>
      </c>
      <c r="I8" s="38">
        <f>COUNTIF(Vertices[Out-Degree],"&gt;= "&amp;H8)-COUNTIF(Vertices[Out-Degree],"&gt;="&amp;H9)</f>
        <v>7</v>
      </c>
      <c r="J8" s="37">
        <f t="shared" si="4"/>
        <v>294</v>
      </c>
      <c r="K8" s="38">
        <f>COUNTIF(Vertices[Betweenness Centrality],"&gt;= "&amp;J8)-COUNTIF(Vertices[Betweenness Centrality],"&gt;="&amp;J9)</f>
        <v>1</v>
      </c>
      <c r="L8" s="37">
        <f t="shared" si="5"/>
        <v>0.12499999999999999</v>
      </c>
      <c r="M8" s="38">
        <f>COUNTIF(Vertices[Closeness Centrality],"&gt;= "&amp;L8)-COUNTIF(Vertices[Closeness Centrality],"&gt;="&amp;L9)</f>
        <v>5</v>
      </c>
      <c r="N8" s="37">
        <f t="shared" si="6"/>
        <v>0.016312125</v>
      </c>
      <c r="O8" s="38">
        <f>COUNTIF(Vertices[Eigenvector Centrality],"&gt;= "&amp;N8)-COUNTIF(Vertices[Eigenvector Centrality],"&gt;="&amp;N9)</f>
        <v>0</v>
      </c>
      <c r="P8" s="37">
        <f t="shared" si="7"/>
        <v>1.536833625</v>
      </c>
      <c r="Q8" s="38">
        <f>COUNTIF(Vertices[PageRank],"&gt;= "&amp;P8)-COUNTIF(Vertices[PageRank],"&gt;="&amp;P9)</f>
        <v>6</v>
      </c>
      <c r="R8" s="37">
        <f t="shared" si="8"/>
        <v>0.12499999999999999</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4.520833333333334</v>
      </c>
      <c r="G9" s="40">
        <f>COUNTIF(Vertices[In-Degree],"&gt;= "&amp;F9)-COUNTIF(Vertices[In-Degree],"&gt;="&amp;F10)</f>
        <v>5</v>
      </c>
      <c r="H9" s="39">
        <f t="shared" si="3"/>
        <v>3.0625</v>
      </c>
      <c r="I9" s="40">
        <f>COUNTIF(Vertices[Out-Degree],"&gt;= "&amp;H9)-COUNTIF(Vertices[Out-Degree],"&gt;="&amp;H10)</f>
        <v>0</v>
      </c>
      <c r="J9" s="39">
        <f t="shared" si="4"/>
        <v>343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0.0190308125</v>
      </c>
      <c r="O9" s="40">
        <f>COUNTIF(Vertices[Eigenvector Centrality],"&gt;= "&amp;N9)-COUNTIF(Vertices[Eigenvector Centrality],"&gt;="&amp;N10)</f>
        <v>0</v>
      </c>
      <c r="P9" s="39">
        <f t="shared" si="7"/>
        <v>1.7929725625000001</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31</v>
      </c>
      <c r="D10" s="32">
        <f t="shared" si="1"/>
        <v>0</v>
      </c>
      <c r="E10" s="3">
        <f>COUNTIF(Vertices[Degree],"&gt;= "&amp;D10)-COUNTIF(Vertices[Degree],"&gt;="&amp;D11)</f>
        <v>0</v>
      </c>
      <c r="F10" s="37">
        <f t="shared" si="2"/>
        <v>5.166666666666667</v>
      </c>
      <c r="G10" s="38">
        <f>COUNTIF(Vertices[In-Degree],"&gt;= "&amp;F10)-COUNTIF(Vertices[In-Degree],"&gt;="&amp;F11)</f>
        <v>0</v>
      </c>
      <c r="H10" s="37">
        <f t="shared" si="3"/>
        <v>3.5</v>
      </c>
      <c r="I10" s="38">
        <f>COUNTIF(Vertices[Out-Degree],"&gt;= "&amp;H10)-COUNTIF(Vertices[Out-Degree],"&gt;="&amp;H11)</f>
        <v>0</v>
      </c>
      <c r="J10" s="37">
        <f t="shared" si="4"/>
        <v>392</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0.0217495</v>
      </c>
      <c r="O10" s="38">
        <f>COUNTIF(Vertices[Eigenvector Centrality],"&gt;= "&amp;N10)-COUNTIF(Vertices[Eigenvector Centrality],"&gt;="&amp;N11)</f>
        <v>21</v>
      </c>
      <c r="P10" s="37">
        <f t="shared" si="7"/>
        <v>2.0491115</v>
      </c>
      <c r="Q10" s="38">
        <f>COUNTIF(Vertices[PageRank],"&gt;= "&amp;P10)-COUNTIF(Vertices[PageRank],"&gt;="&amp;P11)</f>
        <v>2</v>
      </c>
      <c r="R10" s="37">
        <f t="shared" si="8"/>
        <v>0.16666666666666666</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5.8125</v>
      </c>
      <c r="G11" s="40">
        <f>COUNTIF(Vertices[In-Degree],"&gt;= "&amp;F11)-COUNTIF(Vertices[In-Degree],"&gt;="&amp;F12)</f>
        <v>0</v>
      </c>
      <c r="H11" s="39">
        <f t="shared" si="3"/>
        <v>3.9375</v>
      </c>
      <c r="I11" s="40">
        <f>COUNTIF(Vertices[Out-Degree],"&gt;= "&amp;H11)-COUNTIF(Vertices[Out-Degree],"&gt;="&amp;H12)</f>
        <v>2</v>
      </c>
      <c r="J11" s="39">
        <f t="shared" si="4"/>
        <v>441</v>
      </c>
      <c r="K11" s="40">
        <f>COUNTIF(Vertices[Betweenness Centrality],"&gt;= "&amp;J11)-COUNTIF(Vertices[Betweenness Centrality],"&gt;="&amp;J12)</f>
        <v>0</v>
      </c>
      <c r="L11" s="39">
        <f t="shared" si="5"/>
        <v>0.1875</v>
      </c>
      <c r="M11" s="40">
        <f>COUNTIF(Vertices[Closeness Centrality],"&gt;= "&amp;L11)-COUNTIF(Vertices[Closeness Centrality],"&gt;="&amp;L12)</f>
        <v>12</v>
      </c>
      <c r="N11" s="39">
        <f t="shared" si="6"/>
        <v>0.024468187500000002</v>
      </c>
      <c r="O11" s="40">
        <f>COUNTIF(Vertices[Eigenvector Centrality],"&gt;= "&amp;N11)-COUNTIF(Vertices[Eigenvector Centrality],"&gt;="&amp;N12)</f>
        <v>6</v>
      </c>
      <c r="P11" s="39">
        <f t="shared" si="7"/>
        <v>2.3052504375</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170</v>
      </c>
      <c r="B12" s="34">
        <v>0.6845637583892618</v>
      </c>
      <c r="D12" s="32">
        <f t="shared" si="1"/>
        <v>0</v>
      </c>
      <c r="E12" s="3">
        <f>COUNTIF(Vertices[Degree],"&gt;= "&amp;D12)-COUNTIF(Vertices[Degree],"&gt;="&amp;D13)</f>
        <v>0</v>
      </c>
      <c r="F12" s="37">
        <f t="shared" si="2"/>
        <v>6.458333333333333</v>
      </c>
      <c r="G12" s="38">
        <f>COUNTIF(Vertices[In-Degree],"&gt;= "&amp;F12)-COUNTIF(Vertices[In-Degree],"&gt;="&amp;F13)</f>
        <v>2</v>
      </c>
      <c r="H12" s="37">
        <f t="shared" si="3"/>
        <v>4.375</v>
      </c>
      <c r="I12" s="38">
        <f>COUNTIF(Vertices[Out-Degree],"&gt;= "&amp;H12)-COUNTIF(Vertices[Out-Degree],"&gt;="&amp;H13)</f>
        <v>0</v>
      </c>
      <c r="J12" s="37">
        <f t="shared" si="4"/>
        <v>490</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0.027186875000000003</v>
      </c>
      <c r="O12" s="38">
        <f>COUNTIF(Vertices[Eigenvector Centrality],"&gt;= "&amp;N12)-COUNTIF(Vertices[Eigenvector Centrality],"&gt;="&amp;N13)</f>
        <v>0</v>
      </c>
      <c r="P12" s="37">
        <f t="shared" si="7"/>
        <v>2.5613893749999996</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171</v>
      </c>
      <c r="B13" s="34">
        <v>0.8127490039840638</v>
      </c>
      <c r="D13" s="32">
        <f t="shared" si="1"/>
        <v>0</v>
      </c>
      <c r="E13" s="3">
        <f>COUNTIF(Vertices[Degree],"&gt;= "&amp;D13)-COUNTIF(Vertices[Degree],"&gt;="&amp;D14)</f>
        <v>0</v>
      </c>
      <c r="F13" s="39">
        <f t="shared" si="2"/>
        <v>7.104166666666666</v>
      </c>
      <c r="G13" s="40">
        <f>COUNTIF(Vertices[In-Degree],"&gt;= "&amp;F13)-COUNTIF(Vertices[In-Degree],"&gt;="&amp;F14)</f>
        <v>0</v>
      </c>
      <c r="H13" s="39">
        <f t="shared" si="3"/>
        <v>4.8125</v>
      </c>
      <c r="I13" s="40">
        <f>COUNTIF(Vertices[Out-Degree],"&gt;= "&amp;H13)-COUNTIF(Vertices[Out-Degree],"&gt;="&amp;H14)</f>
        <v>4</v>
      </c>
      <c r="J13" s="39">
        <f t="shared" si="4"/>
        <v>539</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0.029905562500000003</v>
      </c>
      <c r="O13" s="40">
        <f>COUNTIF(Vertices[Eigenvector Centrality],"&gt;= "&amp;N13)-COUNTIF(Vertices[Eigenvector Centrality],"&gt;="&amp;N14)</f>
        <v>3</v>
      </c>
      <c r="P13" s="39">
        <f t="shared" si="7"/>
        <v>2.8175283124999995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7.749999999999999</v>
      </c>
      <c r="G14" s="38">
        <f>COUNTIF(Vertices[In-Degree],"&gt;= "&amp;F14)-COUNTIF(Vertices[In-Degree],"&gt;="&amp;F15)</f>
        <v>1</v>
      </c>
      <c r="H14" s="37">
        <f t="shared" si="3"/>
        <v>5.25</v>
      </c>
      <c r="I14" s="38">
        <f>COUNTIF(Vertices[Out-Degree],"&gt;= "&amp;H14)-COUNTIF(Vertices[Out-Degree],"&gt;="&amp;H15)</f>
        <v>0</v>
      </c>
      <c r="J14" s="37">
        <f t="shared" si="4"/>
        <v>588</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0.03262425</v>
      </c>
      <c r="O14" s="38">
        <f>COUNTIF(Vertices[Eigenvector Centrality],"&gt;= "&amp;N14)-COUNTIF(Vertices[Eigenvector Centrality],"&gt;="&amp;N15)</f>
        <v>1</v>
      </c>
      <c r="P14" s="37">
        <f t="shared" si="7"/>
        <v>3.0736672499999993</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152</v>
      </c>
      <c r="B15" s="34">
        <v>59</v>
      </c>
      <c r="D15" s="32">
        <f t="shared" si="1"/>
        <v>0</v>
      </c>
      <c r="E15" s="3">
        <f>COUNTIF(Vertices[Degree],"&gt;= "&amp;D15)-COUNTIF(Vertices[Degree],"&gt;="&amp;D16)</f>
        <v>0</v>
      </c>
      <c r="F15" s="39">
        <f t="shared" si="2"/>
        <v>8.395833333333332</v>
      </c>
      <c r="G15" s="40">
        <f>COUNTIF(Vertices[In-Degree],"&gt;= "&amp;F15)-COUNTIF(Vertices[In-Degree],"&gt;="&amp;F16)</f>
        <v>0</v>
      </c>
      <c r="H15" s="39">
        <f t="shared" si="3"/>
        <v>5.6875</v>
      </c>
      <c r="I15" s="40">
        <f>COUNTIF(Vertices[Out-Degree],"&gt;= "&amp;H15)-COUNTIF(Vertices[Out-Degree],"&gt;="&amp;H16)</f>
        <v>0</v>
      </c>
      <c r="J15" s="39">
        <f t="shared" si="4"/>
        <v>637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0.0353429375</v>
      </c>
      <c r="O15" s="40">
        <f>COUNTIF(Vertices[Eigenvector Centrality],"&gt;= "&amp;N15)-COUNTIF(Vertices[Eigenvector Centrality],"&gt;="&amp;N16)</f>
        <v>0</v>
      </c>
      <c r="P15" s="39">
        <f t="shared" si="7"/>
        <v>3.329806187499999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153</v>
      </c>
      <c r="B16" s="34">
        <v>38</v>
      </c>
      <c r="D16" s="32">
        <f t="shared" si="1"/>
        <v>0</v>
      </c>
      <c r="E16" s="3">
        <f>COUNTIF(Vertices[Degree],"&gt;= "&amp;D16)-COUNTIF(Vertices[Degree],"&gt;="&amp;D17)</f>
        <v>0</v>
      </c>
      <c r="F16" s="37">
        <f t="shared" si="2"/>
        <v>9.041666666666666</v>
      </c>
      <c r="G16" s="38">
        <f>COUNTIF(Vertices[In-Degree],"&gt;= "&amp;F16)-COUNTIF(Vertices[In-Degree],"&gt;="&amp;F17)</f>
        <v>0</v>
      </c>
      <c r="H16" s="37">
        <f t="shared" si="3"/>
        <v>6.125</v>
      </c>
      <c r="I16" s="38">
        <f>COUNTIF(Vertices[Out-Degree],"&gt;= "&amp;H16)-COUNTIF(Vertices[Out-Degree],"&gt;="&amp;H17)</f>
        <v>0</v>
      </c>
      <c r="J16" s="37">
        <f t="shared" si="4"/>
        <v>686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0.038061624999999995</v>
      </c>
      <c r="O16" s="38">
        <f>COUNTIF(Vertices[Eigenvector Centrality],"&gt;= "&amp;N16)-COUNTIF(Vertices[Eigenvector Centrality],"&gt;="&amp;N17)</f>
        <v>0</v>
      </c>
      <c r="P16" s="37">
        <f t="shared" si="7"/>
        <v>3.585945124999999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154</v>
      </c>
      <c r="B17" s="34">
        <v>51</v>
      </c>
      <c r="D17" s="32">
        <f t="shared" si="1"/>
        <v>0</v>
      </c>
      <c r="E17" s="3">
        <f>COUNTIF(Vertices[Degree],"&gt;= "&amp;D17)-COUNTIF(Vertices[Degree],"&gt;="&amp;D18)</f>
        <v>0</v>
      </c>
      <c r="F17" s="39">
        <f t="shared" si="2"/>
        <v>9.6875</v>
      </c>
      <c r="G17" s="40">
        <f>COUNTIF(Vertices[In-Degree],"&gt;= "&amp;F17)-COUNTIF(Vertices[In-Degree],"&gt;="&amp;F18)</f>
        <v>0</v>
      </c>
      <c r="H17" s="39">
        <f t="shared" si="3"/>
        <v>6.5625</v>
      </c>
      <c r="I17" s="40">
        <f>COUNTIF(Vertices[Out-Degree],"&gt;= "&amp;H17)-COUNTIF(Vertices[Out-Degree],"&gt;="&amp;H18)</f>
        <v>0</v>
      </c>
      <c r="J17" s="39">
        <f t="shared" si="4"/>
        <v>735</v>
      </c>
      <c r="K17" s="40">
        <f>COUNTIF(Vertices[Betweenness Centrality],"&gt;= "&amp;J17)-COUNTIF(Vertices[Betweenness Centrality],"&gt;="&amp;J18)</f>
        <v>0</v>
      </c>
      <c r="L17" s="39">
        <f t="shared" si="5"/>
        <v>0.31249999999999994</v>
      </c>
      <c r="M17" s="40">
        <f>COUNTIF(Vertices[Closeness Centrality],"&gt;= "&amp;L17)-COUNTIF(Vertices[Closeness Centrality],"&gt;="&amp;L18)</f>
        <v>13</v>
      </c>
      <c r="N17" s="39">
        <f t="shared" si="6"/>
        <v>0.04078031249999999</v>
      </c>
      <c r="O17" s="40">
        <f>COUNTIF(Vertices[Eigenvector Centrality],"&gt;= "&amp;N17)-COUNTIF(Vertices[Eigenvector Centrality],"&gt;="&amp;N18)</f>
        <v>0</v>
      </c>
      <c r="P17" s="39">
        <f t="shared" si="7"/>
        <v>3.842084062499999</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155</v>
      </c>
      <c r="B18" s="34">
        <v>89</v>
      </c>
      <c r="D18" s="32">
        <f t="shared" si="1"/>
        <v>0</v>
      </c>
      <c r="E18" s="3">
        <f>COUNTIF(Vertices[Degree],"&gt;= "&amp;D18)-COUNTIF(Vertices[Degree],"&gt;="&amp;D19)</f>
        <v>0</v>
      </c>
      <c r="F18" s="37">
        <f t="shared" si="2"/>
        <v>10.333333333333334</v>
      </c>
      <c r="G18" s="38">
        <f>COUNTIF(Vertices[In-Degree],"&gt;= "&amp;F18)-COUNTIF(Vertices[In-Degree],"&gt;="&amp;F19)</f>
        <v>0</v>
      </c>
      <c r="H18" s="37">
        <f t="shared" si="3"/>
        <v>7</v>
      </c>
      <c r="I18" s="38">
        <f>COUNTIF(Vertices[Out-Degree],"&gt;= "&amp;H18)-COUNTIF(Vertices[Out-Degree],"&gt;="&amp;H19)</f>
        <v>2</v>
      </c>
      <c r="J18" s="37">
        <f t="shared" si="4"/>
        <v>784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0.04349899999999999</v>
      </c>
      <c r="O18" s="38">
        <f>COUNTIF(Vertices[Eigenvector Centrality],"&gt;= "&amp;N18)-COUNTIF(Vertices[Eigenvector Centrality],"&gt;="&amp;N19)</f>
        <v>0</v>
      </c>
      <c r="P18" s="37">
        <f t="shared" si="7"/>
        <v>4.098222999999999</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10.979166666666668</v>
      </c>
      <c r="G19" s="40">
        <f>COUNTIF(Vertices[In-Degree],"&gt;= "&amp;F19)-COUNTIF(Vertices[In-Degree],"&gt;="&amp;F20)</f>
        <v>0</v>
      </c>
      <c r="H19" s="39">
        <f t="shared" si="3"/>
        <v>7.4375</v>
      </c>
      <c r="I19" s="40">
        <f>COUNTIF(Vertices[Out-Degree],"&gt;= "&amp;H19)-COUNTIF(Vertices[Out-Degree],"&gt;="&amp;H20)</f>
        <v>0</v>
      </c>
      <c r="J19" s="39">
        <f t="shared" si="4"/>
        <v>833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0.046217687499999986</v>
      </c>
      <c r="O19" s="40">
        <f>COUNTIF(Vertices[Eigenvector Centrality],"&gt;= "&amp;N19)-COUNTIF(Vertices[Eigenvector Centrality],"&gt;="&amp;N20)</f>
        <v>0</v>
      </c>
      <c r="P19" s="39">
        <f t="shared" si="7"/>
        <v>4.354361937499999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11.625000000000002</v>
      </c>
      <c r="G20" s="38">
        <f>COUNTIF(Vertices[In-Degree],"&gt;= "&amp;F20)-COUNTIF(Vertices[In-Degree],"&gt;="&amp;F21)</f>
        <v>1</v>
      </c>
      <c r="H20" s="37">
        <f t="shared" si="3"/>
        <v>7.875</v>
      </c>
      <c r="I20" s="38">
        <f>COUNTIF(Vertices[Out-Degree],"&gt;= "&amp;H20)-COUNTIF(Vertices[Out-Degree],"&gt;="&amp;H21)</f>
        <v>0</v>
      </c>
      <c r="J20" s="37">
        <f t="shared" si="4"/>
        <v>882</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0.04893637499999998</v>
      </c>
      <c r="O20" s="38">
        <f>COUNTIF(Vertices[Eigenvector Centrality],"&gt;= "&amp;N20)-COUNTIF(Vertices[Eigenvector Centrality],"&gt;="&amp;N21)</f>
        <v>0</v>
      </c>
      <c r="P20" s="37">
        <f t="shared" si="7"/>
        <v>4.610500875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2.41604</v>
      </c>
      <c r="D21" s="32">
        <f t="shared" si="1"/>
        <v>0</v>
      </c>
      <c r="E21" s="3">
        <f>COUNTIF(Vertices[Degree],"&gt;= "&amp;D21)-COUNTIF(Vertices[Degree],"&gt;="&amp;D22)</f>
        <v>0</v>
      </c>
      <c r="F21" s="39">
        <f t="shared" si="2"/>
        <v>12.270833333333336</v>
      </c>
      <c r="G21" s="40">
        <f>COUNTIF(Vertices[In-Degree],"&gt;= "&amp;F21)-COUNTIF(Vertices[In-Degree],"&gt;="&amp;F22)</f>
        <v>0</v>
      </c>
      <c r="H21" s="39">
        <f t="shared" si="3"/>
        <v>8.3125</v>
      </c>
      <c r="I21" s="40">
        <f>COUNTIF(Vertices[Out-Degree],"&gt;= "&amp;H21)-COUNTIF(Vertices[Out-Degree],"&gt;="&amp;H22)</f>
        <v>0</v>
      </c>
      <c r="J21" s="39">
        <f t="shared" si="4"/>
        <v>931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0.05165506249999998</v>
      </c>
      <c r="O21" s="40">
        <f>COUNTIF(Vertices[Eigenvector Centrality],"&gt;= "&amp;N21)-COUNTIF(Vertices[Eigenvector Centrality],"&gt;="&amp;N22)</f>
        <v>0</v>
      </c>
      <c r="P21" s="39">
        <f t="shared" si="7"/>
        <v>4.8666398125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12.91666666666667</v>
      </c>
      <c r="G22" s="38">
        <f>COUNTIF(Vertices[In-Degree],"&gt;= "&amp;F22)-COUNTIF(Vertices[In-Degree],"&gt;="&amp;F23)</f>
        <v>0</v>
      </c>
      <c r="H22" s="37">
        <f t="shared" si="3"/>
        <v>8.75</v>
      </c>
      <c r="I22" s="38">
        <f>COUNTIF(Vertices[Out-Degree],"&gt;= "&amp;H22)-COUNTIF(Vertices[Out-Degree],"&gt;="&amp;H23)</f>
        <v>0</v>
      </c>
      <c r="J22" s="37">
        <f t="shared" si="4"/>
        <v>980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0.05437374999999998</v>
      </c>
      <c r="O22" s="38">
        <f>COUNTIF(Vertices[Eigenvector Centrality],"&gt;= "&amp;N22)-COUNTIF(Vertices[Eigenvector Centrality],"&gt;="&amp;N23)</f>
        <v>0</v>
      </c>
      <c r="P22" s="37">
        <f t="shared" si="7"/>
        <v>5.12277875</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158</v>
      </c>
      <c r="B23" s="34">
        <v>0.006181961479730063</v>
      </c>
      <c r="D23" s="32">
        <f t="shared" si="1"/>
        <v>0</v>
      </c>
      <c r="E23" s="3">
        <f>COUNTIF(Vertices[Degree],"&gt;= "&amp;D23)-COUNTIF(Vertices[Degree],"&gt;="&amp;D24)</f>
        <v>0</v>
      </c>
      <c r="F23" s="39">
        <f t="shared" si="2"/>
        <v>13.562500000000004</v>
      </c>
      <c r="G23" s="40">
        <f>COUNTIF(Vertices[In-Degree],"&gt;= "&amp;F23)-COUNTIF(Vertices[In-Degree],"&gt;="&amp;F24)</f>
        <v>0</v>
      </c>
      <c r="H23" s="39">
        <f t="shared" si="3"/>
        <v>9.1875</v>
      </c>
      <c r="I23" s="40">
        <f>COUNTIF(Vertices[Out-Degree],"&gt;= "&amp;H23)-COUNTIF(Vertices[Out-Degree],"&gt;="&amp;H24)</f>
        <v>0</v>
      </c>
      <c r="J23" s="39">
        <f t="shared" si="4"/>
        <v>1029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0.057092437499999975</v>
      </c>
      <c r="O23" s="40">
        <f>COUNTIF(Vertices[Eigenvector Centrality],"&gt;= "&amp;N23)-COUNTIF(Vertices[Eigenvector Centrality],"&gt;="&amp;N24)</f>
        <v>0</v>
      </c>
      <c r="P23" s="39">
        <f t="shared" si="7"/>
        <v>5.3789176875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357</v>
      </c>
      <c r="B24" s="34">
        <v>0.475154</v>
      </c>
      <c r="D24" s="32">
        <f t="shared" si="1"/>
        <v>0</v>
      </c>
      <c r="E24" s="3">
        <f>COUNTIF(Vertices[Degree],"&gt;= "&amp;D24)-COUNTIF(Vertices[Degree],"&gt;="&amp;D25)</f>
        <v>0</v>
      </c>
      <c r="F24" s="37">
        <f t="shared" si="2"/>
        <v>14.208333333333337</v>
      </c>
      <c r="G24" s="38">
        <f>COUNTIF(Vertices[In-Degree],"&gt;= "&amp;F24)-COUNTIF(Vertices[In-Degree],"&gt;="&amp;F25)</f>
        <v>0</v>
      </c>
      <c r="H24" s="37">
        <f t="shared" si="3"/>
        <v>9.625</v>
      </c>
      <c r="I24" s="38">
        <f>COUNTIF(Vertices[Out-Degree],"&gt;= "&amp;H24)-COUNTIF(Vertices[Out-Degree],"&gt;="&amp;H25)</f>
        <v>0</v>
      </c>
      <c r="J24" s="37">
        <f t="shared" si="4"/>
        <v>1078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0.05981112499999997</v>
      </c>
      <c r="O24" s="38">
        <f>COUNTIF(Vertices[Eigenvector Centrality],"&gt;= "&amp;N24)-COUNTIF(Vertices[Eigenvector Centrality],"&gt;="&amp;N25)</f>
        <v>0</v>
      </c>
      <c r="P24" s="37">
        <f t="shared" si="7"/>
        <v>5.635056625000001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14.854166666666671</v>
      </c>
      <c r="G25" s="40">
        <f>COUNTIF(Vertices[In-Degree],"&gt;= "&amp;F25)-COUNTIF(Vertices[In-Degree],"&gt;="&amp;F26)</f>
        <v>0</v>
      </c>
      <c r="H25" s="39">
        <f t="shared" si="3"/>
        <v>10.0625</v>
      </c>
      <c r="I25" s="40">
        <f>COUNTIF(Vertices[Out-Degree],"&gt;= "&amp;H25)-COUNTIF(Vertices[Out-Degree],"&gt;="&amp;H26)</f>
        <v>0</v>
      </c>
      <c r="J25" s="39">
        <f t="shared" si="4"/>
        <v>1127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0.06252981249999998</v>
      </c>
      <c r="O25" s="40">
        <f>COUNTIF(Vertices[Eigenvector Centrality],"&gt;= "&amp;N25)-COUNTIF(Vertices[Eigenvector Centrality],"&gt;="&amp;N26)</f>
        <v>0</v>
      </c>
      <c r="P25" s="39">
        <f t="shared" si="7"/>
        <v>5.891195562500001</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358</v>
      </c>
      <c r="B26" s="34" t="s">
        <v>372</v>
      </c>
      <c r="D26" s="32">
        <f t="shared" si="1"/>
        <v>0</v>
      </c>
      <c r="E26" s="3">
        <f>COUNTIF(Vertices[Degree],"&gt;= "&amp;D26)-COUNTIF(Vertices[Degree],"&gt;="&amp;D28)</f>
        <v>0</v>
      </c>
      <c r="F26" s="37">
        <f t="shared" si="2"/>
        <v>15.500000000000005</v>
      </c>
      <c r="G26" s="38">
        <f>COUNTIF(Vertices[In-Degree],"&gt;= "&amp;F26)-COUNTIF(Vertices[In-Degree],"&gt;="&amp;F28)</f>
        <v>0</v>
      </c>
      <c r="H26" s="37">
        <f t="shared" si="3"/>
        <v>10.5</v>
      </c>
      <c r="I26" s="38">
        <f>COUNTIF(Vertices[Out-Degree],"&gt;= "&amp;H26)-COUNTIF(Vertices[Out-Degree],"&gt;="&amp;H28)</f>
        <v>0</v>
      </c>
      <c r="J26" s="37">
        <f t="shared" si="4"/>
        <v>1176</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0.06524849999999997</v>
      </c>
      <c r="O26" s="38">
        <f>COUNTIF(Vertices[Eigenvector Centrality],"&gt;= "&amp;N26)-COUNTIF(Vertices[Eigenvector Centrality],"&gt;="&amp;N28)</f>
        <v>0</v>
      </c>
      <c r="P26" s="37">
        <f t="shared" si="7"/>
        <v>6.147334500000001</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19"/>
      <c r="B27" s="119"/>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-6</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v>
      </c>
      <c r="T27" s="62"/>
      <c r="U27" s="63">
        <f ca="1">COUNTIF(Vertices[Clustering Coefficient],"&gt;= "&amp;T27)-COUNTIF(Vertices[Clustering Coefficient],"&gt;="&amp;T28)</f>
        <v>0</v>
      </c>
    </row>
    <row r="28" spans="1:21" ht="15">
      <c r="A28" s="34" t="s">
        <v>359</v>
      </c>
      <c r="B28" s="34" t="s">
        <v>1863</v>
      </c>
      <c r="D28" s="32">
        <f>D26+($D$50-$D$2)/BinDivisor</f>
        <v>0</v>
      </c>
      <c r="E28" s="3">
        <f>COUNTIF(Vertices[Degree],"&gt;= "&amp;D28)-COUNTIF(Vertices[Degree],"&gt;="&amp;D42)</f>
        <v>0</v>
      </c>
      <c r="F28" s="39">
        <f>F26+($F$50-$F$2)/BinDivisor</f>
        <v>16.14583333333334</v>
      </c>
      <c r="G28" s="40">
        <f>COUNTIF(Vertices[In-Degree],"&gt;= "&amp;F28)-COUNTIF(Vertices[In-Degree],"&gt;="&amp;F42)</f>
        <v>0</v>
      </c>
      <c r="H28" s="39">
        <f>H26+($H$50-$H$2)/BinDivisor</f>
        <v>10.9375</v>
      </c>
      <c r="I28" s="40">
        <f>COUNTIF(Vertices[Out-Degree],"&gt;= "&amp;H28)-COUNTIF(Vertices[Out-Degree],"&gt;="&amp;H42)</f>
        <v>0</v>
      </c>
      <c r="J28" s="39">
        <f>J26+($J$50-$J$2)/BinDivisor</f>
        <v>1225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0.06796718749999997</v>
      </c>
      <c r="O28" s="40">
        <f>COUNTIF(Vertices[Eigenvector Centrality],"&gt;= "&amp;N28)-COUNTIF(Vertices[Eigenvector Centrality],"&gt;="&amp;N42)</f>
        <v>0</v>
      </c>
      <c r="P28" s="39">
        <f>P26+($P$50-$P$2)/BinDivisor</f>
        <v>6.4034734375000015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19"/>
      <c r="B29" s="119"/>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360</v>
      </c>
      <c r="B30" s="34" t="s">
        <v>1858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361</v>
      </c>
      <c r="B31" s="34" t="s">
        <v>1859</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6">
      <c r="A32" s="34" t="s">
        <v>362</v>
      </c>
      <c r="B32" s="52" t="s">
        <v>1860</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363</v>
      </c>
      <c r="B33" s="34" t="s">
        <v>1861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364</v>
      </c>
      <c r="B34" s="34" t="s">
        <v>1862</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365</v>
      </c>
      <c r="B35" s="34" t="s">
        <v>231</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366</v>
      </c>
      <c r="B36" s="34" t="s">
        <v>231</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367</v>
      </c>
      <c r="B37" s="34" t="s">
        <v>231</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368</v>
      </c>
      <c r="B38" s="34"/>
      <c r="D38" s="32"/>
      <c r="E38" s="3">
        <f>COUNTIF(Vertices[Degree],"&gt;= "&amp;D38)-COUNTIF(Vertices[Degree],"&gt;="&amp;D42)</f>
        <v>0</v>
      </c>
      <c r="F38" s="62"/>
      <c r="G38" s="63">
        <f>COUNTIF(Vertices[In-Degree],"&gt;= "&amp;F38)-COUNTIF(Vertices[In-Degree],"&gt;="&amp;F42)</f>
        <v>-1</v>
      </c>
      <c r="H38" s="62"/>
      <c r="I38" s="63">
        <f>COUNTIF(Vertices[Out-Degree],"&gt;= "&amp;H38)-COUNTIF(Vertices[Out-Degree],"&gt;="&amp;H42)</f>
        <v>-2</v>
      </c>
      <c r="J38" s="62"/>
      <c r="K38" s="63">
        <f>COUNTIF(Vertices[Betweenness Centrality],"&gt;= "&amp;J38)-COUNTIF(Vertices[Betweenness Centrality],"&gt;="&amp;J42)</f>
        <v>-1</v>
      </c>
      <c r="L38" s="62"/>
      <c r="M38" s="63">
        <f>COUNTIF(Vertices[Closeness Centrality],"&gt;= "&amp;L38)-COUNTIF(Vertices[Closeness Centrality],"&gt;="&amp;L42)</f>
        <v>-6</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-1</v>
      </c>
      <c r="H39" s="62"/>
      <c r="I39" s="63">
        <f>COUNTIF(Vertices[Out-Degree],"&gt;= "&amp;H39)-COUNTIF(Vertices[Out-Degree],"&gt;="&amp;H42)</f>
        <v>-2</v>
      </c>
      <c r="J39" s="62"/>
      <c r="K39" s="63">
        <f>COUNTIF(Vertices[Betweenness Centrality],"&gt;= "&amp;J39)-COUNTIF(Vertices[Betweenness Centrality],"&gt;="&amp;J42)</f>
        <v>-1</v>
      </c>
      <c r="L39" s="62"/>
      <c r="M39" s="63">
        <f>COUNTIF(Vertices[Closeness Centrality],"&gt;= "&amp;L39)-COUNTIF(Vertices[Closeness Centrality],"&gt;="&amp;L42)</f>
        <v>-6</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v>
      </c>
      <c r="T39" s="62"/>
      <c r="U39" s="63">
        <f ca="1">COUNTIF(Vertices[Clustering Coefficient],"&gt;= "&amp;T39)-COUNTIF(Vertices[Clustering Coefficient],"&gt;="&amp;T42)</f>
        <v>0</v>
      </c>
    </row>
    <row r="40" spans="1:21" ht="15">
      <c r="A40" s="34" t="s">
        <v>369</v>
      </c>
      <c r="B40" s="34" t="s">
        <v>32</v>
      </c>
      <c r="D40" s="32"/>
      <c r="E40" s="3">
        <f>COUNTIF(Vertices[Degree],"&gt;= "&amp;D40)-COUNTIF(Vertices[Degree],"&gt;="&amp;D42)</f>
        <v>0</v>
      </c>
      <c r="F40" s="62"/>
      <c r="G40" s="63">
        <f>COUNTIF(Vertices[In-Degree],"&gt;= "&amp;F40)-COUNTIF(Vertices[In-Degree],"&gt;="&amp;F42)</f>
        <v>-1</v>
      </c>
      <c r="H40" s="62"/>
      <c r="I40" s="63">
        <f>COUNTIF(Vertices[Out-Degree],"&gt;= "&amp;H40)-COUNTIF(Vertices[Out-Degree],"&gt;="&amp;H42)</f>
        <v>-2</v>
      </c>
      <c r="J40" s="62"/>
      <c r="K40" s="63">
        <f>COUNTIF(Vertices[Betweenness Centrality],"&gt;= "&amp;J40)-COUNTIF(Vertices[Betweenness Centrality],"&gt;="&amp;J42)</f>
        <v>-1</v>
      </c>
      <c r="L40" s="62"/>
      <c r="M40" s="63">
        <f>COUNTIF(Vertices[Closeness Centrality],"&gt;= "&amp;L40)-COUNTIF(Vertices[Closeness Centrality],"&gt;="&amp;L42)</f>
        <v>-6</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v>
      </c>
      <c r="T40" s="62"/>
      <c r="U40" s="63">
        <f ca="1">COUNTIF(Vertices[Clustering Coefficient],"&gt;= "&amp;T40)-COUNTIF(Vertices[Clustering Coefficient],"&gt;="&amp;T42)</f>
        <v>0</v>
      </c>
    </row>
    <row r="41" spans="1:21" ht="15">
      <c r="A41" s="34" t="s">
        <v>370</v>
      </c>
      <c r="B41" s="34"/>
      <c r="D41" s="32"/>
      <c r="E41" s="3">
        <f>COUNTIF(Vertices[Degree],"&gt;= "&amp;D41)-COUNTIF(Vertices[Degree],"&gt;="&amp;D42)</f>
        <v>0</v>
      </c>
      <c r="F41" s="62"/>
      <c r="G41" s="63">
        <f>COUNTIF(Vertices[In-Degree],"&gt;= "&amp;F41)-COUNTIF(Vertices[In-Degree],"&gt;="&amp;F42)</f>
        <v>-1</v>
      </c>
      <c r="H41" s="62"/>
      <c r="I41" s="63">
        <f>COUNTIF(Vertices[Out-Degree],"&gt;= "&amp;H41)-COUNTIF(Vertices[Out-Degree],"&gt;="&amp;H42)</f>
        <v>-2</v>
      </c>
      <c r="J41" s="62"/>
      <c r="K41" s="63">
        <f>COUNTIF(Vertices[Betweenness Centrality],"&gt;= "&amp;J41)-COUNTIF(Vertices[Betweenness Centrality],"&gt;="&amp;J42)</f>
        <v>-1</v>
      </c>
      <c r="L41" s="62"/>
      <c r="M41" s="63">
        <f>COUNTIF(Vertices[Closeness Centrality],"&gt;= "&amp;L41)-COUNTIF(Vertices[Closeness Centrality],"&gt;="&amp;L42)</f>
        <v>-6</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v>
      </c>
      <c r="T41" s="62"/>
      <c r="U41" s="63">
        <f ca="1">COUNTIF(Vertices[Clustering Coefficient],"&gt;= "&amp;T41)-COUNTIF(Vertices[Clustering Coefficient],"&gt;="&amp;T42)</f>
        <v>0</v>
      </c>
    </row>
    <row r="42" spans="1:21" ht="15">
      <c r="A42" s="34" t="s">
        <v>371</v>
      </c>
      <c r="B42" s="34"/>
      <c r="D42" s="32">
        <f>D28+($D$50-$D$2)/BinDivisor</f>
        <v>0</v>
      </c>
      <c r="E42" s="3">
        <f>COUNTIF(Vertices[Degree],"&gt;= "&amp;D42)-COUNTIF(Vertices[Degree],"&gt;="&amp;D43)</f>
        <v>0</v>
      </c>
      <c r="F42" s="37">
        <f>F28+($F$50-$F$2)/BinDivisor</f>
        <v>16.79166666666667</v>
      </c>
      <c r="G42" s="38">
        <f>COUNTIF(Vertices[In-Degree],"&gt;= "&amp;F42)-COUNTIF(Vertices[In-Degree],"&gt;="&amp;F43)</f>
        <v>0</v>
      </c>
      <c r="H42" s="37">
        <f>H28+($H$50-$H$2)/BinDivisor</f>
        <v>11.375</v>
      </c>
      <c r="I42" s="38">
        <f>COUNTIF(Vertices[Out-Degree],"&gt;= "&amp;H42)-COUNTIF(Vertices[Out-Degree],"&gt;="&amp;H43)</f>
        <v>0</v>
      </c>
      <c r="J42" s="37">
        <f>J28+($J$50-$J$2)/BinDivisor</f>
        <v>1274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0.07068587499999997</v>
      </c>
      <c r="O42" s="38">
        <f>COUNTIF(Vertices[Eigenvector Centrality],"&gt;= "&amp;N42)-COUNTIF(Vertices[Eigenvector Centrality],"&gt;="&amp;N43)</f>
        <v>0</v>
      </c>
      <c r="P42" s="37">
        <f>P28+($P$50-$P$2)/BinDivisor</f>
        <v>6.659612375000002</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17.437500000000004</v>
      </c>
      <c r="G43" s="40">
        <f>COUNTIF(Vertices[In-Degree],"&gt;= "&amp;F43)-COUNTIF(Vertices[In-Degree],"&gt;="&amp;F44)</f>
        <v>0</v>
      </c>
      <c r="H43" s="39">
        <f aca="true" t="shared" si="12" ref="H43:H49">H42+($H$50-$H$2)/BinDivisor</f>
        <v>11.8125</v>
      </c>
      <c r="I43" s="40">
        <f>COUNTIF(Vertices[Out-Degree],"&gt;= "&amp;H43)-COUNTIF(Vertices[Out-Degree],"&gt;="&amp;H44)</f>
        <v>1</v>
      </c>
      <c r="J43" s="39">
        <f aca="true" t="shared" si="13" ref="J43:J49">J42+($J$50-$J$2)/BinDivisor</f>
        <v>1323</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0.07340456249999996</v>
      </c>
      <c r="O43" s="40">
        <f>COUNTIF(Vertices[Eigenvector Centrality],"&gt;= "&amp;N43)-COUNTIF(Vertices[Eigenvector Centrality],"&gt;="&amp;N44)</f>
        <v>0</v>
      </c>
      <c r="P43" s="39">
        <f aca="true" t="shared" si="16" ref="P43:P49">P42+($P$50-$P$2)/BinDivisor</f>
        <v>6.915751312500002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18.083333333333336</v>
      </c>
      <c r="G44" s="38">
        <f>COUNTIF(Vertices[In-Degree],"&gt;= "&amp;F44)-COUNTIF(Vertices[In-Degree],"&gt;="&amp;F45)</f>
        <v>0</v>
      </c>
      <c r="H44" s="37">
        <f t="shared" si="12"/>
        <v>12.25</v>
      </c>
      <c r="I44" s="38">
        <f>COUNTIF(Vertices[Out-Degree],"&gt;= "&amp;H44)-COUNTIF(Vertices[Out-Degree],"&gt;="&amp;H45)</f>
        <v>0</v>
      </c>
      <c r="J44" s="37">
        <f t="shared" si="13"/>
        <v>1372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0.07612324999999996</v>
      </c>
      <c r="O44" s="38">
        <f>COUNTIF(Vertices[Eigenvector Centrality],"&gt;= "&amp;N44)-COUNTIF(Vertices[Eigenvector Centrality],"&gt;="&amp;N45)</f>
        <v>0</v>
      </c>
      <c r="P44" s="37">
        <f t="shared" si="16"/>
        <v>7.171890250000002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18.729166666666668</v>
      </c>
      <c r="G45" s="40">
        <f>COUNTIF(Vertices[In-Degree],"&gt;= "&amp;F45)-COUNTIF(Vertices[In-Degree],"&gt;="&amp;F46)</f>
        <v>0</v>
      </c>
      <c r="H45" s="39">
        <f t="shared" si="12"/>
        <v>12.6875</v>
      </c>
      <c r="I45" s="40">
        <f>COUNTIF(Vertices[Out-Degree],"&gt;= "&amp;H45)-COUNTIF(Vertices[Out-Degree],"&gt;="&amp;H46)</f>
        <v>0</v>
      </c>
      <c r="J45" s="39">
        <f t="shared" si="13"/>
        <v>1421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0.07884193749999996</v>
      </c>
      <c r="O45" s="40">
        <f>COUNTIF(Vertices[Eigenvector Centrality],"&gt;= "&amp;N45)-COUNTIF(Vertices[Eigenvector Centrality],"&gt;="&amp;N46)</f>
        <v>0</v>
      </c>
      <c r="P45" s="39">
        <f t="shared" si="16"/>
        <v>7.428029187500003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19.375</v>
      </c>
      <c r="G46" s="38">
        <f>COUNTIF(Vertices[In-Degree],"&gt;= "&amp;F46)-COUNTIF(Vertices[In-Degree],"&gt;="&amp;F47)</f>
        <v>0</v>
      </c>
      <c r="H46" s="37">
        <f t="shared" si="12"/>
        <v>13.125</v>
      </c>
      <c r="I46" s="38">
        <f>COUNTIF(Vertices[Out-Degree],"&gt;= "&amp;H46)-COUNTIF(Vertices[Out-Degree],"&gt;="&amp;H47)</f>
        <v>0</v>
      </c>
      <c r="J46" s="37">
        <f t="shared" si="13"/>
        <v>1470</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0.08156062499999996</v>
      </c>
      <c r="O46" s="38">
        <f>COUNTIF(Vertices[Eigenvector Centrality],"&gt;= "&amp;N46)-COUNTIF(Vertices[Eigenvector Centrality],"&gt;="&amp;N47)</f>
        <v>0</v>
      </c>
      <c r="P46" s="37">
        <f t="shared" si="16"/>
        <v>7.684168125000003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20.020833333333332</v>
      </c>
      <c r="G47" s="40">
        <f>COUNTIF(Vertices[In-Degree],"&gt;= "&amp;F47)-COUNTIF(Vertices[In-Degree],"&gt;="&amp;F48)</f>
        <v>0</v>
      </c>
      <c r="H47" s="39">
        <f t="shared" si="12"/>
        <v>13.5625</v>
      </c>
      <c r="I47" s="40">
        <f>COUNTIF(Vertices[Out-Degree],"&gt;= "&amp;H47)-COUNTIF(Vertices[Out-Degree],"&gt;="&amp;H48)</f>
        <v>0</v>
      </c>
      <c r="J47" s="39">
        <f t="shared" si="13"/>
        <v>1519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0.08427931249999995</v>
      </c>
      <c r="O47" s="40">
        <f>COUNTIF(Vertices[Eigenvector Centrality],"&gt;= "&amp;N47)-COUNTIF(Vertices[Eigenvector Centrality],"&gt;="&amp;N48)</f>
        <v>0</v>
      </c>
      <c r="P47" s="39">
        <f t="shared" si="16"/>
        <v>7.940307062500003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20.666666666666664</v>
      </c>
      <c r="G48" s="38">
        <f>COUNTIF(Vertices[In-Degree],"&gt;= "&amp;F48)-COUNTIF(Vertices[In-Degree],"&gt;="&amp;F49)</f>
        <v>0</v>
      </c>
      <c r="H48" s="37">
        <f t="shared" si="12"/>
        <v>14</v>
      </c>
      <c r="I48" s="38">
        <f>COUNTIF(Vertices[Out-Degree],"&gt;= "&amp;H48)-COUNTIF(Vertices[Out-Degree],"&gt;="&amp;H49)</f>
        <v>0</v>
      </c>
      <c r="J48" s="37">
        <f t="shared" si="13"/>
        <v>1568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0.08699799999999995</v>
      </c>
      <c r="O48" s="38">
        <f>COUNTIF(Vertices[Eigenvector Centrality],"&gt;= "&amp;N48)-COUNTIF(Vertices[Eigenvector Centrality],"&gt;="&amp;N49)</f>
        <v>0</v>
      </c>
      <c r="P48" s="37">
        <f t="shared" si="16"/>
        <v>8.196446000000003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21.312499999999996</v>
      </c>
      <c r="G49" s="40">
        <f>COUNTIF(Vertices[In-Degree],"&gt;= "&amp;F49)-COUNTIF(Vertices[In-Degree],"&gt;="&amp;#REF!)</f>
        <v>1</v>
      </c>
      <c r="H49" s="39">
        <f t="shared" si="12"/>
        <v>14.4375</v>
      </c>
      <c r="I49" s="40">
        <f>COUNTIF(Vertices[Out-Degree],"&gt;= "&amp;H49)-COUNTIF(Vertices[Out-Degree],"&gt;="&amp;#REF!)</f>
        <v>1</v>
      </c>
      <c r="J49" s="39">
        <f t="shared" si="13"/>
        <v>1617</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0.08971668749999995</v>
      </c>
      <c r="O49" s="40">
        <f>COUNTIF(Vertices[Eigenvector Centrality],"&gt;= "&amp;N49)-COUNTIF(Vertices[Eigenvector Centrality],"&gt;="&amp;#REF!)</f>
        <v>1</v>
      </c>
      <c r="P49" s="39">
        <f t="shared" si="16"/>
        <v>8.452584937500003</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31</v>
      </c>
      <c r="G50" s="42">
        <f>COUNTIF(Vertices[In-Degree],"&gt;= "&amp;F50)-COUNTIF(Vertices[In-Degree],"&gt;="&amp;#REF!)</f>
        <v>1</v>
      </c>
      <c r="H50" s="41">
        <f>MAX(Vertices[Out-Degree])</f>
        <v>21</v>
      </c>
      <c r="I50" s="42">
        <f>COUNTIF(Vertices[Out-Degree],"&gt;= "&amp;H50)-COUNTIF(Vertices[Out-Degree],"&gt;="&amp;#REF!)</f>
        <v>1</v>
      </c>
      <c r="J50" s="41">
        <f>MAX(Vertices[Betweenness Centrality])</f>
        <v>2352</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0.130497</v>
      </c>
      <c r="O50" s="42">
        <f>COUNTIF(Vertices[Eigenvector Centrality],"&gt;= "&amp;N50)-COUNTIF(Vertices[Eigenvector Centrality],"&gt;="&amp;#REF!)</f>
        <v>1</v>
      </c>
      <c r="P50" s="41">
        <f>MAX(Vertices[PageRank])</f>
        <v>12.294669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31</v>
      </c>
    </row>
    <row r="82" spans="1:2" ht="15">
      <c r="A82" s="33" t="s">
        <v>90</v>
      </c>
      <c r="B82" s="47">
        <f>_xlfn.IFERROR(AVERAGE(Vertices[In-Degree]),NoMetricMessage)</f>
        <v>1.3514851485148516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21</v>
      </c>
    </row>
    <row r="96" spans="1:2" ht="15">
      <c r="A96" s="33" t="s">
        <v>96</v>
      </c>
      <c r="B96" s="47">
        <f>_xlfn.IFERROR(AVERAGE(Vertices[Out-Degree]),NoMetricMessage)</f>
        <v>1.3514851485148516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2352</v>
      </c>
    </row>
    <row r="110" spans="1:2" ht="15">
      <c r="A110" s="33" t="s">
        <v>102</v>
      </c>
      <c r="B110" s="47">
        <f>_xlfn.IFERROR(AVERAGE(Vertices[Betweenness Centrality]),NoMetricMessage)</f>
        <v>25.99009900990099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0.10212167326732668</v>
      </c>
    </row>
    <row r="125" spans="1:2" ht="15">
      <c r="A125" s="33" t="s">
        <v>109</v>
      </c>
      <c r="B125" s="47">
        <f>_xlfn.IFERROR(MEDIAN(Vertices[Closeness Centrality]),NoMetricMessage)</f>
        <v>0.020833</v>
      </c>
    </row>
    <row r="136" spans="1:2" ht="15">
      <c r="A136" s="33" t="s">
        <v>112</v>
      </c>
      <c r="B136" s="47">
        <f>IF(COUNT(Vertices[Eigenvector Centrality])&gt;0,N2,NoMetricMessage)</f>
        <v>0</v>
      </c>
    </row>
    <row r="137" spans="1:2" ht="15">
      <c r="A137" s="33" t="s">
        <v>113</v>
      </c>
      <c r="B137" s="47">
        <f>IF(COUNT(Vertices[Eigenvector Centrality])&gt;0,N50,NoMetricMessage)</f>
        <v>0.130497</v>
      </c>
    </row>
    <row r="138" spans="1:2" ht="15">
      <c r="A138" s="33" t="s">
        <v>114</v>
      </c>
      <c r="B138" s="47">
        <f>_xlfn.IFERROR(AVERAGE(Vertices[Eigenvector Centrality]),NoMetricMessage)</f>
        <v>0.004950495049504946</v>
      </c>
    </row>
    <row r="139" spans="1:2" ht="15">
      <c r="A139" s="33" t="s">
        <v>115</v>
      </c>
      <c r="B139" s="47">
        <f>_xlfn.IFERROR(MEDIAN(Vertices[Eigenvector Centrality]),NoMetricMessage)</f>
        <v>0</v>
      </c>
    </row>
    <row r="150" spans="1:2" ht="15">
      <c r="A150" s="33" t="s">
        <v>140</v>
      </c>
      <c r="B150" s="47">
        <f>IF(COUNT(Vertices[PageRank])&gt;0,P2,NoMetricMessage)</f>
        <v>0</v>
      </c>
    </row>
    <row r="151" spans="1:2" ht="15">
      <c r="A151" s="33" t="s">
        <v>141</v>
      </c>
      <c r="B151" s="47">
        <f>IF(COUNT(Vertices[PageRank])&gt;0,P50,NoMetricMessage)</f>
        <v>12.294669</v>
      </c>
    </row>
    <row r="152" spans="1:2" ht="15">
      <c r="A152" s="33" t="s">
        <v>142</v>
      </c>
      <c r="B152" s="47">
        <f>_xlfn.IFERROR(AVERAGE(Vertices[PageRank]),NoMetricMessage)</f>
        <v>0.8168291782178217</v>
      </c>
    </row>
    <row r="153" spans="1:2" ht="15">
      <c r="A153" s="33" t="s">
        <v>143</v>
      </c>
      <c r="B153" s="47">
        <f>_xlfn.IFERROR(MEDIAN(Vertices[PageRank]),NoMetricMessage)</f>
        <v>0.587347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0.008621541877690073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273</v>
      </c>
    </row>
    <row r="6" spans="1:18" ht="409.6">
      <c r="A6">
        <v>0</v>
      </c>
      <c r="B6" s="1" t="s">
        <v>136</v>
      </c>
      <c r="C6">
        <v>1</v>
      </c>
      <c r="D6" t="s">
        <v>59</v>
      </c>
      <c r="E6" t="s">
        <v>59</v>
      </c>
      <c r="F6">
        <v>0</v>
      </c>
      <c r="H6" t="s">
        <v>71</v>
      </c>
      <c r="J6" t="s">
        <v>173</v>
      </c>
      <c r="K6" s="13" t="s">
        <v>274</v>
      </c>
      <c r="R6" t="s">
        <v>129</v>
      </c>
    </row>
    <row r="7" spans="1:11" ht="409.6">
      <c r="A7">
        <v>2</v>
      </c>
      <c r="B7">
        <v>1</v>
      </c>
      <c r="C7">
        <v>0</v>
      </c>
      <c r="D7" t="s">
        <v>60</v>
      </c>
      <c r="E7" t="s">
        <v>60</v>
      </c>
      <c r="F7">
        <v>2</v>
      </c>
      <c r="H7" t="s">
        <v>72</v>
      </c>
      <c r="J7" t="s">
        <v>174</v>
      </c>
      <c r="K7" s="13" t="s">
        <v>275</v>
      </c>
    </row>
    <row r="8" spans="1:11" ht="409.6">
      <c r="A8"/>
      <c r="B8">
        <v>2</v>
      </c>
      <c r="C8">
        <v>2</v>
      </c>
      <c r="D8" t="s">
        <v>61</v>
      </c>
      <c r="E8" t="s">
        <v>61</v>
      </c>
      <c r="H8" t="s">
        <v>73</v>
      </c>
      <c r="J8" t="s">
        <v>175</v>
      </c>
      <c r="K8" s="13" t="s">
        <v>276</v>
      </c>
    </row>
    <row r="9" spans="1:11" ht="409.6">
      <c r="A9"/>
      <c r="B9">
        <v>3</v>
      </c>
      <c r="C9">
        <v>4</v>
      </c>
      <c r="D9" t="s">
        <v>62</v>
      </c>
      <c r="E9" t="s">
        <v>62</v>
      </c>
      <c r="H9" t="s">
        <v>74</v>
      </c>
      <c r="J9" t="s">
        <v>176</v>
      </c>
      <c r="K9" s="13" t="s">
        <v>436</v>
      </c>
    </row>
    <row r="10" spans="1:11" ht="15">
      <c r="A10"/>
      <c r="B10">
        <v>4</v>
      </c>
      <c r="D10" t="s">
        <v>63</v>
      </c>
      <c r="E10" t="s">
        <v>63</v>
      </c>
      <c r="H10" t="s">
        <v>75</v>
      </c>
      <c r="J10" t="s">
        <v>177</v>
      </c>
      <c r="K10" t="s">
        <v>437</v>
      </c>
    </row>
    <row r="11" spans="1:11" ht="15">
      <c r="A11"/>
      <c r="B11">
        <v>5</v>
      </c>
      <c r="D11" t="s">
        <v>46</v>
      </c>
      <c r="E11">
        <v>1</v>
      </c>
      <c r="H11" t="s">
        <v>76</v>
      </c>
      <c r="J11" t="s">
        <v>178</v>
      </c>
      <c r="K11" t="s">
        <v>438</v>
      </c>
    </row>
    <row r="12" spans="1:11" ht="15">
      <c r="A12"/>
      <c r="B12"/>
      <c r="D12" t="s">
        <v>64</v>
      </c>
      <c r="E12">
        <v>2</v>
      </c>
      <c r="H12">
        <v>0</v>
      </c>
      <c r="J12" t="s">
        <v>179</v>
      </c>
      <c r="K12" t="s">
        <v>439</v>
      </c>
    </row>
    <row r="13" spans="1:11" ht="15">
      <c r="A13"/>
      <c r="B13"/>
      <c r="D13">
        <v>1</v>
      </c>
      <c r="E13">
        <v>3</v>
      </c>
      <c r="H13">
        <v>1</v>
      </c>
      <c r="J13" t="s">
        <v>180</v>
      </c>
      <c r="K13" t="s">
        <v>440</v>
      </c>
    </row>
    <row r="14" spans="4:11" ht="15">
      <c r="D14">
        <v>2</v>
      </c>
      <c r="E14">
        <v>4</v>
      </c>
      <c r="H14">
        <v>2</v>
      </c>
      <c r="J14" t="s">
        <v>181</v>
      </c>
      <c r="K14" t="s">
        <v>441</v>
      </c>
    </row>
    <row r="15" spans="4:11" ht="15">
      <c r="D15">
        <v>3</v>
      </c>
      <c r="E15">
        <v>5</v>
      </c>
      <c r="H15">
        <v>3</v>
      </c>
      <c r="J15" t="s">
        <v>182</v>
      </c>
      <c r="K15" t="s">
        <v>442</v>
      </c>
    </row>
    <row r="16" spans="4:11" ht="15">
      <c r="D16">
        <v>4</v>
      </c>
      <c r="E16">
        <v>6</v>
      </c>
      <c r="H16">
        <v>4</v>
      </c>
      <c r="J16" t="s">
        <v>183</v>
      </c>
      <c r="K16" t="s">
        <v>443</v>
      </c>
    </row>
    <row r="17" spans="4:11" ht="15">
      <c r="D17">
        <v>5</v>
      </c>
      <c r="E17">
        <v>7</v>
      </c>
      <c r="H17">
        <v>5</v>
      </c>
      <c r="J17" t="s">
        <v>184</v>
      </c>
      <c r="K17" t="s">
        <v>444</v>
      </c>
    </row>
    <row r="18" spans="4:11" ht="15">
      <c r="D18">
        <v>6</v>
      </c>
      <c r="E18">
        <v>8</v>
      </c>
      <c r="H18">
        <v>6</v>
      </c>
      <c r="J18" t="s">
        <v>185</v>
      </c>
      <c r="K18" t="s">
        <v>445</v>
      </c>
    </row>
    <row r="19" spans="4:11" ht="409.6">
      <c r="D19">
        <v>7</v>
      </c>
      <c r="E19">
        <v>9</v>
      </c>
      <c r="H19">
        <v>7</v>
      </c>
      <c r="J19" t="s">
        <v>186</v>
      </c>
      <c r="K19" s="13" t="s">
        <v>446</v>
      </c>
    </row>
    <row r="20" spans="4:11" ht="409.6">
      <c r="D20">
        <v>8</v>
      </c>
      <c r="H20">
        <v>8</v>
      </c>
      <c r="J20" t="s">
        <v>187</v>
      </c>
      <c r="K20" s="13" t="s">
        <v>1855</v>
      </c>
    </row>
    <row r="21" spans="4:11" ht="409.6">
      <c r="D21">
        <v>9</v>
      </c>
      <c r="H21">
        <v>9</v>
      </c>
      <c r="J21" t="s">
        <v>188</v>
      </c>
      <c r="K21" s="13" t="s">
        <v>1856</v>
      </c>
    </row>
    <row r="22" spans="4:11" ht="409.6">
      <c r="D22">
        <v>10</v>
      </c>
      <c r="J22" t="s">
        <v>189</v>
      </c>
      <c r="K22" s="113" t="s">
        <v>1857</v>
      </c>
    </row>
    <row r="23" spans="4:11" ht="15">
      <c r="D23">
        <v>11</v>
      </c>
      <c r="J23" t="s">
        <v>190</v>
      </c>
      <c r="K23">
        <v>18</v>
      </c>
    </row>
    <row r="24" spans="10:11" ht="15">
      <c r="J24" t="s">
        <v>192</v>
      </c>
      <c r="K24" t="s">
        <v>1854</v>
      </c>
    </row>
    <row r="25" spans="10:11" ht="409.6">
      <c r="J25" t="s">
        <v>193</v>
      </c>
      <c r="K25" s="13" t="s">
        <v>1852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9E186-2930-45DC-B017-257FF60A658F}">
  <dimension ref="A1:G72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277</v>
      </c>
      <c r="B1" s="13" t="s">
        <v>324</v>
      </c>
      <c r="C1" s="13" t="s">
        <v>328</v>
      </c>
      <c r="D1" s="13" t="s">
        <v>144</v>
      </c>
      <c r="E1" s="13" t="s">
        <v>330</v>
      </c>
      <c r="F1" s="13" t="s">
        <v>331</v>
      </c>
      <c r="G1" s="13" t="s">
        <v>332</v>
      </c>
    </row>
    <row r="2" spans="1:7" ht="15">
      <c r="A2" s="79" t="s">
        <v>278</v>
      </c>
      <c r="B2" s="79" t="s">
        <v>325</v>
      </c>
      <c r="C2" s="114"/>
      <c r="D2" s="79" t="s">
        <v>329</v>
      </c>
      <c r="E2" s="79"/>
      <c r="F2" s="79"/>
      <c r="G2" s="79"/>
    </row>
    <row r="3" spans="1:7" ht="15">
      <c r="A3" s="79" t="s">
        <v>279</v>
      </c>
      <c r="B3" s="79" t="s">
        <v>326</v>
      </c>
      <c r="C3" s="114"/>
      <c r="D3" s="79" t="s">
        <v>329</v>
      </c>
      <c r="E3" s="79"/>
      <c r="F3" s="79"/>
      <c r="G3" s="79"/>
    </row>
    <row r="4" spans="1:7" ht="15">
      <c r="A4" s="79" t="s">
        <v>280</v>
      </c>
      <c r="B4" s="79" t="s">
        <v>327</v>
      </c>
      <c r="C4" s="114"/>
      <c r="D4" s="79" t="s">
        <v>329</v>
      </c>
      <c r="E4" s="79"/>
      <c r="F4" s="79"/>
      <c r="G4" s="79"/>
    </row>
    <row r="5" spans="1:7" ht="15">
      <c r="A5" s="79" t="s">
        <v>281</v>
      </c>
      <c r="B5" s="79">
        <v>150</v>
      </c>
      <c r="C5" s="114">
        <v>0.040106951871657755</v>
      </c>
      <c r="D5" s="79" t="s">
        <v>329</v>
      </c>
      <c r="E5" s="79"/>
      <c r="F5" s="79"/>
      <c r="G5" s="79"/>
    </row>
    <row r="6" spans="1:7" ht="15">
      <c r="A6" s="79" t="s">
        <v>282</v>
      </c>
      <c r="B6" s="79">
        <v>11</v>
      </c>
      <c r="C6" s="114">
        <v>0.0029411764705882353</v>
      </c>
      <c r="D6" s="79" t="s">
        <v>329</v>
      </c>
      <c r="E6" s="79"/>
      <c r="F6" s="79"/>
      <c r="G6" s="79"/>
    </row>
    <row r="7" spans="1:7" ht="15">
      <c r="A7" s="79" t="s">
        <v>283</v>
      </c>
      <c r="B7" s="79">
        <v>0</v>
      </c>
      <c r="C7" s="114">
        <v>0</v>
      </c>
      <c r="D7" s="79" t="s">
        <v>329</v>
      </c>
      <c r="E7" s="79"/>
      <c r="F7" s="79"/>
      <c r="G7" s="79"/>
    </row>
    <row r="8" spans="1:7" ht="15">
      <c r="A8" s="79" t="s">
        <v>284</v>
      </c>
      <c r="B8" s="79">
        <v>3579</v>
      </c>
      <c r="C8" s="114">
        <v>0.956951871657754</v>
      </c>
      <c r="D8" s="79" t="s">
        <v>329</v>
      </c>
      <c r="E8" s="79"/>
      <c r="F8" s="79"/>
      <c r="G8" s="79"/>
    </row>
    <row r="9" spans="1:7" ht="15">
      <c r="A9" s="79" t="s">
        <v>285</v>
      </c>
      <c r="B9" s="79">
        <v>3740</v>
      </c>
      <c r="C9" s="114">
        <v>1</v>
      </c>
      <c r="D9" s="79" t="s">
        <v>329</v>
      </c>
      <c r="E9" s="79"/>
      <c r="F9" s="79"/>
      <c r="G9" s="79"/>
    </row>
    <row r="10" spans="1:7" ht="15">
      <c r="A10" s="112" t="s">
        <v>1450</v>
      </c>
      <c r="B10" s="112">
        <v>88</v>
      </c>
      <c r="C10" s="115">
        <v>0.010113055677690188</v>
      </c>
      <c r="D10" s="112" t="s">
        <v>329</v>
      </c>
      <c r="E10" s="112" t="b">
        <v>0</v>
      </c>
      <c r="F10" s="112" t="b">
        <v>0</v>
      </c>
      <c r="G10" s="112" t="b">
        <v>0</v>
      </c>
    </row>
    <row r="11" spans="1:7" ht="15">
      <c r="A11" s="112" t="s">
        <v>1451</v>
      </c>
      <c r="B11" s="112">
        <v>66</v>
      </c>
      <c r="C11" s="115">
        <v>0.008725308460564563</v>
      </c>
      <c r="D11" s="112" t="s">
        <v>329</v>
      </c>
      <c r="E11" s="112" t="b">
        <v>0</v>
      </c>
      <c r="F11" s="112" t="b">
        <v>0</v>
      </c>
      <c r="G11" s="112" t="b">
        <v>0</v>
      </c>
    </row>
    <row r="12" spans="1:7" ht="15">
      <c r="A12" s="112" t="s">
        <v>1452</v>
      </c>
      <c r="B12" s="112">
        <v>39</v>
      </c>
      <c r="C12" s="115">
        <v>0.008861291728631293</v>
      </c>
      <c r="D12" s="112" t="s">
        <v>329</v>
      </c>
      <c r="E12" s="112" t="b">
        <v>0</v>
      </c>
      <c r="F12" s="112" t="b">
        <v>0</v>
      </c>
      <c r="G12" s="112" t="b">
        <v>0</v>
      </c>
    </row>
    <row r="13" spans="1:7" ht="15">
      <c r="A13" s="112" t="s">
        <v>1453</v>
      </c>
      <c r="B13" s="112">
        <v>35</v>
      </c>
      <c r="C13" s="115">
        <v>0.00833594611353714</v>
      </c>
      <c r="D13" s="112" t="s">
        <v>329</v>
      </c>
      <c r="E13" s="112" t="b">
        <v>1</v>
      </c>
      <c r="F13" s="112" t="b">
        <v>0</v>
      </c>
      <c r="G13" s="112" t="b">
        <v>0</v>
      </c>
    </row>
    <row r="14" spans="1:7" ht="15">
      <c r="A14" s="112" t="s">
        <v>1454</v>
      </c>
      <c r="B14" s="112">
        <v>34</v>
      </c>
      <c r="C14" s="115">
        <v>0.007045328075392365</v>
      </c>
      <c r="D14" s="112" t="s">
        <v>329</v>
      </c>
      <c r="E14" s="112" t="b">
        <v>0</v>
      </c>
      <c r="F14" s="112" t="b">
        <v>0</v>
      </c>
      <c r="G14" s="112" t="b">
        <v>0</v>
      </c>
    </row>
    <row r="15" spans="1:7" ht="15">
      <c r="A15" s="112" t="s">
        <v>287</v>
      </c>
      <c r="B15" s="112">
        <v>26</v>
      </c>
      <c r="C15" s="115">
        <v>0.005148937484560747</v>
      </c>
      <c r="D15" s="112" t="s">
        <v>329</v>
      </c>
      <c r="E15" s="112" t="b">
        <v>0</v>
      </c>
      <c r="F15" s="112" t="b">
        <v>0</v>
      </c>
      <c r="G15" s="112" t="b">
        <v>0</v>
      </c>
    </row>
    <row r="16" spans="1:7" ht="15">
      <c r="A16" s="112" t="s">
        <v>293</v>
      </c>
      <c r="B16" s="112">
        <v>25</v>
      </c>
      <c r="C16" s="115">
        <v>0.005680315210661085</v>
      </c>
      <c r="D16" s="112" t="s">
        <v>329</v>
      </c>
      <c r="E16" s="112" t="b">
        <v>0</v>
      </c>
      <c r="F16" s="112" t="b">
        <v>0</v>
      </c>
      <c r="G16" s="112" t="b">
        <v>0</v>
      </c>
    </row>
    <row r="17" spans="1:7" ht="15">
      <c r="A17" s="112" t="s">
        <v>302</v>
      </c>
      <c r="B17" s="112">
        <v>19</v>
      </c>
      <c r="C17" s="115">
        <v>0.0055257255071142685</v>
      </c>
      <c r="D17" s="112" t="s">
        <v>329</v>
      </c>
      <c r="E17" s="112" t="b">
        <v>0</v>
      </c>
      <c r="F17" s="112" t="b">
        <v>0</v>
      </c>
      <c r="G17" s="112" t="b">
        <v>0</v>
      </c>
    </row>
    <row r="18" spans="1:7" ht="15">
      <c r="A18" s="112" t="s">
        <v>1455</v>
      </c>
      <c r="B18" s="112">
        <v>18</v>
      </c>
      <c r="C18" s="115">
        <v>0.006208099008732925</v>
      </c>
      <c r="D18" s="112" t="s">
        <v>329</v>
      </c>
      <c r="E18" s="112" t="b">
        <v>0</v>
      </c>
      <c r="F18" s="112" t="b">
        <v>0</v>
      </c>
      <c r="G18" s="112" t="b">
        <v>0</v>
      </c>
    </row>
    <row r="19" spans="1:7" ht="15">
      <c r="A19" s="112" t="s">
        <v>1456</v>
      </c>
      <c r="B19" s="112">
        <v>16</v>
      </c>
      <c r="C19" s="115">
        <v>0.004912149085290177</v>
      </c>
      <c r="D19" s="112" t="s">
        <v>329</v>
      </c>
      <c r="E19" s="112" t="b">
        <v>0</v>
      </c>
      <c r="F19" s="112" t="b">
        <v>0</v>
      </c>
      <c r="G19" s="112" t="b">
        <v>0</v>
      </c>
    </row>
    <row r="20" spans="1:7" ht="15">
      <c r="A20" s="112" t="s">
        <v>1457</v>
      </c>
      <c r="B20" s="112">
        <v>15</v>
      </c>
      <c r="C20" s="115">
        <v>0.00551347807855655</v>
      </c>
      <c r="D20" s="112" t="s">
        <v>329</v>
      </c>
      <c r="E20" s="112" t="b">
        <v>0</v>
      </c>
      <c r="F20" s="112" t="b">
        <v>0</v>
      </c>
      <c r="G20" s="112" t="b">
        <v>0</v>
      </c>
    </row>
    <row r="21" spans="1:7" ht="15">
      <c r="A21" s="112" t="s">
        <v>1458</v>
      </c>
      <c r="B21" s="112">
        <v>13</v>
      </c>
      <c r="C21" s="115">
        <v>0.003991121131798269</v>
      </c>
      <c r="D21" s="112" t="s">
        <v>329</v>
      </c>
      <c r="E21" s="112" t="b">
        <v>0</v>
      </c>
      <c r="F21" s="112" t="b">
        <v>0</v>
      </c>
      <c r="G21" s="112" t="b">
        <v>0</v>
      </c>
    </row>
    <row r="22" spans="1:7" ht="15">
      <c r="A22" s="112" t="s">
        <v>298</v>
      </c>
      <c r="B22" s="112">
        <v>12</v>
      </c>
      <c r="C22" s="115">
        <v>0.0036841118139676328</v>
      </c>
      <c r="D22" s="112" t="s">
        <v>329</v>
      </c>
      <c r="E22" s="112" t="b">
        <v>0</v>
      </c>
      <c r="F22" s="112" t="b">
        <v>0</v>
      </c>
      <c r="G22" s="112" t="b">
        <v>0</v>
      </c>
    </row>
    <row r="23" spans="1:7" ht="15">
      <c r="A23" s="112" t="s">
        <v>294</v>
      </c>
      <c r="B23" s="112">
        <v>11</v>
      </c>
      <c r="C23" s="115">
        <v>0.0033771024961369964</v>
      </c>
      <c r="D23" s="112" t="s">
        <v>329</v>
      </c>
      <c r="E23" s="112" t="b">
        <v>0</v>
      </c>
      <c r="F23" s="112" t="b">
        <v>0</v>
      </c>
      <c r="G23" s="112" t="b">
        <v>0</v>
      </c>
    </row>
    <row r="24" spans="1:7" ht="15">
      <c r="A24" s="112" t="s">
        <v>1459</v>
      </c>
      <c r="B24" s="112">
        <v>10</v>
      </c>
      <c r="C24" s="115">
        <v>0.00424691098778244</v>
      </c>
      <c r="D24" s="112" t="s">
        <v>329</v>
      </c>
      <c r="E24" s="112" t="b">
        <v>0</v>
      </c>
      <c r="F24" s="112" t="b">
        <v>0</v>
      </c>
      <c r="G24" s="112" t="b">
        <v>0</v>
      </c>
    </row>
    <row r="25" spans="1:7" ht="15">
      <c r="A25" s="112" t="s">
        <v>1460</v>
      </c>
      <c r="B25" s="112">
        <v>10</v>
      </c>
      <c r="C25" s="115">
        <v>0.0036756520523710326</v>
      </c>
      <c r="D25" s="112" t="s">
        <v>329</v>
      </c>
      <c r="E25" s="112" t="b">
        <v>0</v>
      </c>
      <c r="F25" s="112" t="b">
        <v>0</v>
      </c>
      <c r="G25" s="112" t="b">
        <v>0</v>
      </c>
    </row>
    <row r="26" spans="1:7" ht="15">
      <c r="A26" s="112" t="s">
        <v>1461</v>
      </c>
      <c r="B26" s="112">
        <v>10</v>
      </c>
      <c r="C26" s="115">
        <v>0.0034489438937405138</v>
      </c>
      <c r="D26" s="112" t="s">
        <v>329</v>
      </c>
      <c r="E26" s="112" t="b">
        <v>0</v>
      </c>
      <c r="F26" s="112" t="b">
        <v>0</v>
      </c>
      <c r="G26" s="112" t="b">
        <v>0</v>
      </c>
    </row>
    <row r="27" spans="1:7" ht="15">
      <c r="A27" s="112" t="s">
        <v>306</v>
      </c>
      <c r="B27" s="112">
        <v>9</v>
      </c>
      <c r="C27" s="115">
        <v>0.0031040495043664624</v>
      </c>
      <c r="D27" s="112" t="s">
        <v>329</v>
      </c>
      <c r="E27" s="112" t="b">
        <v>0</v>
      </c>
      <c r="F27" s="112" t="b">
        <v>0</v>
      </c>
      <c r="G27" s="112" t="b">
        <v>0</v>
      </c>
    </row>
    <row r="28" spans="1:7" ht="15">
      <c r="A28" s="112" t="s">
        <v>1462</v>
      </c>
      <c r="B28" s="112">
        <v>8</v>
      </c>
      <c r="C28" s="115">
        <v>0.0031498939315938177</v>
      </c>
      <c r="D28" s="112" t="s">
        <v>329</v>
      </c>
      <c r="E28" s="112" t="b">
        <v>0</v>
      </c>
      <c r="F28" s="112" t="b">
        <v>0</v>
      </c>
      <c r="G28" s="112" t="b">
        <v>0</v>
      </c>
    </row>
    <row r="29" spans="1:7" ht="15">
      <c r="A29" s="112" t="s">
        <v>1463</v>
      </c>
      <c r="B29" s="112">
        <v>8</v>
      </c>
      <c r="C29" s="115">
        <v>0.003700609362573275</v>
      </c>
      <c r="D29" s="112" t="s">
        <v>329</v>
      </c>
      <c r="E29" s="112" t="b">
        <v>0</v>
      </c>
      <c r="F29" s="112" t="b">
        <v>0</v>
      </c>
      <c r="G29" s="112" t="b">
        <v>0</v>
      </c>
    </row>
    <row r="30" spans="1:7" ht="15">
      <c r="A30" s="112" t="s">
        <v>1464</v>
      </c>
      <c r="B30" s="112">
        <v>8</v>
      </c>
      <c r="C30" s="115">
        <v>0.0029405216418968263</v>
      </c>
      <c r="D30" s="112" t="s">
        <v>329</v>
      </c>
      <c r="E30" s="112" t="b">
        <v>0</v>
      </c>
      <c r="F30" s="112" t="b">
        <v>0</v>
      </c>
      <c r="G30" s="112" t="b">
        <v>0</v>
      </c>
    </row>
    <row r="31" spans="1:7" ht="15">
      <c r="A31" s="112" t="s">
        <v>1465</v>
      </c>
      <c r="B31" s="112">
        <v>8</v>
      </c>
      <c r="C31" s="115">
        <v>0.004091348179174682</v>
      </c>
      <c r="D31" s="112" t="s">
        <v>329</v>
      </c>
      <c r="E31" s="112" t="b">
        <v>0</v>
      </c>
      <c r="F31" s="112" t="b">
        <v>0</v>
      </c>
      <c r="G31" s="112" t="b">
        <v>0</v>
      </c>
    </row>
    <row r="32" spans="1:7" ht="15">
      <c r="A32" s="112" t="s">
        <v>1466</v>
      </c>
      <c r="B32" s="112">
        <v>7</v>
      </c>
      <c r="C32" s="115">
        <v>0.002972837691447708</v>
      </c>
      <c r="D32" s="112" t="s">
        <v>329</v>
      </c>
      <c r="E32" s="112" t="b">
        <v>0</v>
      </c>
      <c r="F32" s="112" t="b">
        <v>0</v>
      </c>
      <c r="G32" s="112" t="b">
        <v>0</v>
      </c>
    </row>
    <row r="33" spans="1:7" ht="15">
      <c r="A33" s="112" t="s">
        <v>319</v>
      </c>
      <c r="B33" s="112">
        <v>7</v>
      </c>
      <c r="C33" s="115">
        <v>0.0032380331922516156</v>
      </c>
      <c r="D33" s="112" t="s">
        <v>329</v>
      </c>
      <c r="E33" s="112" t="b">
        <v>0</v>
      </c>
      <c r="F33" s="112" t="b">
        <v>0</v>
      </c>
      <c r="G33" s="112" t="b">
        <v>0</v>
      </c>
    </row>
    <row r="34" spans="1:7" ht="15">
      <c r="A34" s="112" t="s">
        <v>1467</v>
      </c>
      <c r="B34" s="112">
        <v>7</v>
      </c>
      <c r="C34" s="115">
        <v>0.0027561571901445906</v>
      </c>
      <c r="D34" s="112" t="s">
        <v>329</v>
      </c>
      <c r="E34" s="112" t="b">
        <v>0</v>
      </c>
      <c r="F34" s="112" t="b">
        <v>0</v>
      </c>
      <c r="G34" s="112" t="b">
        <v>0</v>
      </c>
    </row>
    <row r="35" spans="1:7" ht="15">
      <c r="A35" s="112" t="s">
        <v>292</v>
      </c>
      <c r="B35" s="112">
        <v>7</v>
      </c>
      <c r="C35" s="115">
        <v>0.002972837691447708</v>
      </c>
      <c r="D35" s="112" t="s">
        <v>329</v>
      </c>
      <c r="E35" s="112" t="b">
        <v>0</v>
      </c>
      <c r="F35" s="112" t="b">
        <v>0</v>
      </c>
      <c r="G35" s="112" t="b">
        <v>0</v>
      </c>
    </row>
    <row r="36" spans="1:7" ht="15">
      <c r="A36" s="112" t="s">
        <v>1468</v>
      </c>
      <c r="B36" s="112">
        <v>7</v>
      </c>
      <c r="C36" s="115">
        <v>0.002972837691447708</v>
      </c>
      <c r="D36" s="112" t="s">
        <v>329</v>
      </c>
      <c r="E36" s="112" t="b">
        <v>0</v>
      </c>
      <c r="F36" s="112" t="b">
        <v>0</v>
      </c>
      <c r="G36" s="112" t="b">
        <v>0</v>
      </c>
    </row>
    <row r="37" spans="1:7" ht="15">
      <c r="A37" s="112" t="s">
        <v>1469</v>
      </c>
      <c r="B37" s="112">
        <v>7</v>
      </c>
      <c r="C37" s="115">
        <v>0.003579929656777847</v>
      </c>
      <c r="D37" s="112" t="s">
        <v>329</v>
      </c>
      <c r="E37" s="112" t="b">
        <v>0</v>
      </c>
      <c r="F37" s="112" t="b">
        <v>0</v>
      </c>
      <c r="G37" s="112" t="b">
        <v>0</v>
      </c>
    </row>
    <row r="38" spans="1:7" ht="15">
      <c r="A38" s="112" t="s">
        <v>1470</v>
      </c>
      <c r="B38" s="112">
        <v>7</v>
      </c>
      <c r="C38" s="115">
        <v>0.002572956436659723</v>
      </c>
      <c r="D38" s="112" t="s">
        <v>329</v>
      </c>
      <c r="E38" s="112" t="b">
        <v>0</v>
      </c>
      <c r="F38" s="112" t="b">
        <v>0</v>
      </c>
      <c r="G38" s="112" t="b">
        <v>0</v>
      </c>
    </row>
    <row r="39" spans="1:7" ht="15">
      <c r="A39" s="112" t="s">
        <v>1471</v>
      </c>
      <c r="B39" s="112">
        <v>7</v>
      </c>
      <c r="C39" s="115">
        <v>0.0032380331922516156</v>
      </c>
      <c r="D39" s="112" t="s">
        <v>329</v>
      </c>
      <c r="E39" s="112" t="b">
        <v>0</v>
      </c>
      <c r="F39" s="112" t="b">
        <v>0</v>
      </c>
      <c r="G39" s="112" t="b">
        <v>0</v>
      </c>
    </row>
    <row r="40" spans="1:7" ht="15">
      <c r="A40" s="112" t="s">
        <v>289</v>
      </c>
      <c r="B40" s="112">
        <v>6</v>
      </c>
      <c r="C40" s="115">
        <v>0.002548146592669464</v>
      </c>
      <c r="D40" s="112" t="s">
        <v>329</v>
      </c>
      <c r="E40" s="112" t="b">
        <v>0</v>
      </c>
      <c r="F40" s="112" t="b">
        <v>0</v>
      </c>
      <c r="G40" s="112" t="b">
        <v>0</v>
      </c>
    </row>
    <row r="41" spans="1:7" ht="15">
      <c r="A41" s="112" t="s">
        <v>1472</v>
      </c>
      <c r="B41" s="112">
        <v>6</v>
      </c>
      <c r="C41" s="115">
        <v>0.0023624204486953635</v>
      </c>
      <c r="D41" s="112" t="s">
        <v>329</v>
      </c>
      <c r="E41" s="112" t="b">
        <v>0</v>
      </c>
      <c r="F41" s="112" t="b">
        <v>0</v>
      </c>
      <c r="G41" s="112" t="b">
        <v>0</v>
      </c>
    </row>
    <row r="42" spans="1:7" ht="15">
      <c r="A42" s="112" t="s">
        <v>1473</v>
      </c>
      <c r="B42" s="112">
        <v>6</v>
      </c>
      <c r="C42" s="115">
        <v>0.0023624204486953635</v>
      </c>
      <c r="D42" s="112" t="s">
        <v>329</v>
      </c>
      <c r="E42" s="112" t="b">
        <v>0</v>
      </c>
      <c r="F42" s="112" t="b">
        <v>0</v>
      </c>
      <c r="G42" s="112" t="b">
        <v>0</v>
      </c>
    </row>
    <row r="43" spans="1:7" ht="15">
      <c r="A43" s="112" t="s">
        <v>1474</v>
      </c>
      <c r="B43" s="112">
        <v>6</v>
      </c>
      <c r="C43" s="115">
        <v>0.0027754570219299564</v>
      </c>
      <c r="D43" s="112" t="s">
        <v>329</v>
      </c>
      <c r="E43" s="112" t="b">
        <v>0</v>
      </c>
      <c r="F43" s="112" t="b">
        <v>0</v>
      </c>
      <c r="G43" s="112" t="b">
        <v>0</v>
      </c>
    </row>
    <row r="44" spans="1:7" ht="15">
      <c r="A44" s="112" t="s">
        <v>1475</v>
      </c>
      <c r="B44" s="112">
        <v>6</v>
      </c>
      <c r="C44" s="115">
        <v>0.002548146592669464</v>
      </c>
      <c r="D44" s="112" t="s">
        <v>329</v>
      </c>
      <c r="E44" s="112" t="b">
        <v>1</v>
      </c>
      <c r="F44" s="112" t="b">
        <v>0</v>
      </c>
      <c r="G44" s="112" t="b">
        <v>0</v>
      </c>
    </row>
    <row r="45" spans="1:7" ht="15">
      <c r="A45" s="112" t="s">
        <v>1476</v>
      </c>
      <c r="B45" s="112">
        <v>6</v>
      </c>
      <c r="C45" s="115">
        <v>0.0023624204486953635</v>
      </c>
      <c r="D45" s="112" t="s">
        <v>329</v>
      </c>
      <c r="E45" s="112" t="b">
        <v>0</v>
      </c>
      <c r="F45" s="112" t="b">
        <v>0</v>
      </c>
      <c r="G45" s="112" t="b">
        <v>0</v>
      </c>
    </row>
    <row r="46" spans="1:7" ht="15">
      <c r="A46" s="112" t="s">
        <v>1477</v>
      </c>
      <c r="B46" s="112">
        <v>6</v>
      </c>
      <c r="C46" s="115">
        <v>0.0027754570219299564</v>
      </c>
      <c r="D46" s="112" t="s">
        <v>329</v>
      </c>
      <c r="E46" s="112" t="b">
        <v>1</v>
      </c>
      <c r="F46" s="112" t="b">
        <v>0</v>
      </c>
      <c r="G46" s="112" t="b">
        <v>0</v>
      </c>
    </row>
    <row r="47" spans="1:7" ht="15">
      <c r="A47" s="112" t="s">
        <v>1478</v>
      </c>
      <c r="B47" s="112">
        <v>6</v>
      </c>
      <c r="C47" s="115">
        <v>0.002548146592669464</v>
      </c>
      <c r="D47" s="112" t="s">
        <v>329</v>
      </c>
      <c r="E47" s="112" t="b">
        <v>0</v>
      </c>
      <c r="F47" s="112" t="b">
        <v>0</v>
      </c>
      <c r="G47" s="112" t="b">
        <v>0</v>
      </c>
    </row>
    <row r="48" spans="1:7" ht="15">
      <c r="A48" s="112" t="s">
        <v>286</v>
      </c>
      <c r="B48" s="112">
        <v>6</v>
      </c>
      <c r="C48" s="115">
        <v>0.003068511134381012</v>
      </c>
      <c r="D48" s="112" t="s">
        <v>329</v>
      </c>
      <c r="E48" s="112" t="b">
        <v>0</v>
      </c>
      <c r="F48" s="112" t="b">
        <v>0</v>
      </c>
      <c r="G48" s="112" t="b">
        <v>0</v>
      </c>
    </row>
    <row r="49" spans="1:7" ht="15">
      <c r="A49" s="112" t="s">
        <v>1479</v>
      </c>
      <c r="B49" s="112">
        <v>6</v>
      </c>
      <c r="C49" s="115">
        <v>0.0027754570219299564</v>
      </c>
      <c r="D49" s="112" t="s">
        <v>329</v>
      </c>
      <c r="E49" s="112" t="b">
        <v>0</v>
      </c>
      <c r="F49" s="112" t="b">
        <v>0</v>
      </c>
      <c r="G49" s="112" t="b">
        <v>0</v>
      </c>
    </row>
    <row r="50" spans="1:7" ht="15">
      <c r="A50" s="112" t="s">
        <v>1480</v>
      </c>
      <c r="B50" s="112">
        <v>6</v>
      </c>
      <c r="C50" s="115">
        <v>0.003068511134381012</v>
      </c>
      <c r="D50" s="112" t="s">
        <v>329</v>
      </c>
      <c r="E50" s="112" t="b">
        <v>0</v>
      </c>
      <c r="F50" s="112" t="b">
        <v>0</v>
      </c>
      <c r="G50" s="112" t="b">
        <v>0</v>
      </c>
    </row>
    <row r="51" spans="1:7" ht="15">
      <c r="A51" s="112" t="s">
        <v>321</v>
      </c>
      <c r="B51" s="112">
        <v>6</v>
      </c>
      <c r="C51" s="115">
        <v>0.002548146592669464</v>
      </c>
      <c r="D51" s="112" t="s">
        <v>329</v>
      </c>
      <c r="E51" s="112" t="b">
        <v>0</v>
      </c>
      <c r="F51" s="112" t="b">
        <v>0</v>
      </c>
      <c r="G51" s="112" t="b">
        <v>0</v>
      </c>
    </row>
    <row r="52" spans="1:7" ht="15">
      <c r="A52" s="112" t="s">
        <v>1481</v>
      </c>
      <c r="B52" s="112">
        <v>6</v>
      </c>
      <c r="C52" s="115">
        <v>0.003068511134381012</v>
      </c>
      <c r="D52" s="112" t="s">
        <v>329</v>
      </c>
      <c r="E52" s="112" t="b">
        <v>0</v>
      </c>
      <c r="F52" s="112" t="b">
        <v>0</v>
      </c>
      <c r="G52" s="112" t="b">
        <v>0</v>
      </c>
    </row>
    <row r="53" spans="1:7" ht="15">
      <c r="A53" s="112" t="s">
        <v>305</v>
      </c>
      <c r="B53" s="112">
        <v>6</v>
      </c>
      <c r="C53" s="115">
        <v>0.0023624204486953635</v>
      </c>
      <c r="D53" s="112" t="s">
        <v>329</v>
      </c>
      <c r="E53" s="112" t="b">
        <v>0</v>
      </c>
      <c r="F53" s="112" t="b">
        <v>0</v>
      </c>
      <c r="G53" s="112" t="b">
        <v>0</v>
      </c>
    </row>
    <row r="54" spans="1:7" ht="15">
      <c r="A54" s="112" t="s">
        <v>1482</v>
      </c>
      <c r="B54" s="112">
        <v>6</v>
      </c>
      <c r="C54" s="115">
        <v>0.004187638393301252</v>
      </c>
      <c r="D54" s="112" t="s">
        <v>329</v>
      </c>
      <c r="E54" s="112" t="b">
        <v>0</v>
      </c>
      <c r="F54" s="112" t="b">
        <v>0</v>
      </c>
      <c r="G54" s="112" t="b">
        <v>0</v>
      </c>
    </row>
    <row r="55" spans="1:7" ht="15">
      <c r="A55" s="112" t="s">
        <v>1483</v>
      </c>
      <c r="B55" s="112">
        <v>6</v>
      </c>
      <c r="C55" s="115">
        <v>0.0023624204486953635</v>
      </c>
      <c r="D55" s="112" t="s">
        <v>329</v>
      </c>
      <c r="E55" s="112" t="b">
        <v>0</v>
      </c>
      <c r="F55" s="112" t="b">
        <v>0</v>
      </c>
      <c r="G55" s="112" t="b">
        <v>0</v>
      </c>
    </row>
    <row r="56" spans="1:7" ht="15">
      <c r="A56" s="112" t="s">
        <v>1484</v>
      </c>
      <c r="B56" s="112">
        <v>5</v>
      </c>
      <c r="C56" s="115">
        <v>0.00212345549389122</v>
      </c>
      <c r="D56" s="112" t="s">
        <v>329</v>
      </c>
      <c r="E56" s="112" t="b">
        <v>0</v>
      </c>
      <c r="F56" s="112" t="b">
        <v>0</v>
      </c>
      <c r="G56" s="112" t="b">
        <v>0</v>
      </c>
    </row>
    <row r="57" spans="1:7" ht="15">
      <c r="A57" s="112" t="s">
        <v>1485</v>
      </c>
      <c r="B57" s="112">
        <v>5</v>
      </c>
      <c r="C57" s="115">
        <v>0.002557092611984176</v>
      </c>
      <c r="D57" s="112" t="s">
        <v>329</v>
      </c>
      <c r="E57" s="112" t="b">
        <v>0</v>
      </c>
      <c r="F57" s="112" t="b">
        <v>0</v>
      </c>
      <c r="G57" s="112" t="b">
        <v>0</v>
      </c>
    </row>
    <row r="58" spans="1:7" ht="15">
      <c r="A58" s="112" t="s">
        <v>1486</v>
      </c>
      <c r="B58" s="112">
        <v>5</v>
      </c>
      <c r="C58" s="115">
        <v>0.00212345549389122</v>
      </c>
      <c r="D58" s="112" t="s">
        <v>329</v>
      </c>
      <c r="E58" s="112" t="b">
        <v>0</v>
      </c>
      <c r="F58" s="112" t="b">
        <v>0</v>
      </c>
      <c r="G58" s="112" t="b">
        <v>0</v>
      </c>
    </row>
    <row r="59" spans="1:7" ht="15">
      <c r="A59" s="112" t="s">
        <v>288</v>
      </c>
      <c r="B59" s="112">
        <v>5</v>
      </c>
      <c r="C59" s="115">
        <v>0.00212345549389122</v>
      </c>
      <c r="D59" s="112" t="s">
        <v>329</v>
      </c>
      <c r="E59" s="112" t="b">
        <v>0</v>
      </c>
      <c r="F59" s="112" t="b">
        <v>0</v>
      </c>
      <c r="G59" s="112" t="b">
        <v>0</v>
      </c>
    </row>
    <row r="60" spans="1:7" ht="15">
      <c r="A60" s="112" t="s">
        <v>1487</v>
      </c>
      <c r="B60" s="112">
        <v>5</v>
      </c>
      <c r="C60" s="115">
        <v>0.002557092611984176</v>
      </c>
      <c r="D60" s="112" t="s">
        <v>329</v>
      </c>
      <c r="E60" s="112" t="b">
        <v>0</v>
      </c>
      <c r="F60" s="112" t="b">
        <v>0</v>
      </c>
      <c r="G60" s="112" t="b">
        <v>0</v>
      </c>
    </row>
    <row r="61" spans="1:7" ht="15">
      <c r="A61" s="112" t="s">
        <v>1488</v>
      </c>
      <c r="B61" s="112">
        <v>5</v>
      </c>
      <c r="C61" s="115">
        <v>0.0023128808516082967</v>
      </c>
      <c r="D61" s="112" t="s">
        <v>329</v>
      </c>
      <c r="E61" s="112" t="b">
        <v>0</v>
      </c>
      <c r="F61" s="112" t="b">
        <v>0</v>
      </c>
      <c r="G61" s="112" t="b">
        <v>0</v>
      </c>
    </row>
    <row r="62" spans="1:7" ht="15">
      <c r="A62" s="112" t="s">
        <v>1489</v>
      </c>
      <c r="B62" s="112">
        <v>5</v>
      </c>
      <c r="C62" s="115">
        <v>0.0023128808516082967</v>
      </c>
      <c r="D62" s="112" t="s">
        <v>329</v>
      </c>
      <c r="E62" s="112" t="b">
        <v>0</v>
      </c>
      <c r="F62" s="112" t="b">
        <v>0</v>
      </c>
      <c r="G62" s="112" t="b">
        <v>0</v>
      </c>
    </row>
    <row r="63" spans="1:7" ht="15">
      <c r="A63" s="112" t="s">
        <v>1490</v>
      </c>
      <c r="B63" s="112">
        <v>5</v>
      </c>
      <c r="C63" s="115">
        <v>0.0029012897563463367</v>
      </c>
      <c r="D63" s="112" t="s">
        <v>329</v>
      </c>
      <c r="E63" s="112" t="b">
        <v>0</v>
      </c>
      <c r="F63" s="112" t="b">
        <v>0</v>
      </c>
      <c r="G63" s="112" t="b">
        <v>0</v>
      </c>
    </row>
    <row r="64" spans="1:7" ht="15">
      <c r="A64" s="112" t="s">
        <v>314</v>
      </c>
      <c r="B64" s="112">
        <v>5</v>
      </c>
      <c r="C64" s="115">
        <v>0.00212345549389122</v>
      </c>
      <c r="D64" s="112" t="s">
        <v>329</v>
      </c>
      <c r="E64" s="112" t="b">
        <v>0</v>
      </c>
      <c r="F64" s="112" t="b">
        <v>0</v>
      </c>
      <c r="G64" s="112" t="b">
        <v>0</v>
      </c>
    </row>
    <row r="65" spans="1:7" ht="15">
      <c r="A65" s="112" t="s">
        <v>1491</v>
      </c>
      <c r="B65" s="112">
        <v>5</v>
      </c>
      <c r="C65" s="115">
        <v>0.002557092611984176</v>
      </c>
      <c r="D65" s="112" t="s">
        <v>329</v>
      </c>
      <c r="E65" s="112" t="b">
        <v>0</v>
      </c>
      <c r="F65" s="112" t="b">
        <v>0</v>
      </c>
      <c r="G65" s="112" t="b">
        <v>0</v>
      </c>
    </row>
    <row r="66" spans="1:7" ht="15">
      <c r="A66" s="112" t="s">
        <v>1492</v>
      </c>
      <c r="B66" s="112">
        <v>5</v>
      </c>
      <c r="C66" s="115">
        <v>0.002557092611984176</v>
      </c>
      <c r="D66" s="112" t="s">
        <v>329</v>
      </c>
      <c r="E66" s="112" t="b">
        <v>0</v>
      </c>
      <c r="F66" s="112" t="b">
        <v>0</v>
      </c>
      <c r="G66" s="112" t="b">
        <v>0</v>
      </c>
    </row>
    <row r="67" spans="1:7" ht="15">
      <c r="A67" s="112" t="s">
        <v>1493</v>
      </c>
      <c r="B67" s="112">
        <v>5</v>
      </c>
      <c r="C67" s="115">
        <v>0.0023128808516082967</v>
      </c>
      <c r="D67" s="112" t="s">
        <v>329</v>
      </c>
      <c r="E67" s="112" t="b">
        <v>0</v>
      </c>
      <c r="F67" s="112" t="b">
        <v>0</v>
      </c>
      <c r="G67" s="112" t="b">
        <v>0</v>
      </c>
    </row>
    <row r="68" spans="1:7" ht="15">
      <c r="A68" s="112" t="s">
        <v>1494</v>
      </c>
      <c r="B68" s="112">
        <v>5</v>
      </c>
      <c r="C68" s="115">
        <v>0.0023128808516082967</v>
      </c>
      <c r="D68" s="112" t="s">
        <v>329</v>
      </c>
      <c r="E68" s="112" t="b">
        <v>1</v>
      </c>
      <c r="F68" s="112" t="b">
        <v>0</v>
      </c>
      <c r="G68" s="112" t="b">
        <v>0</v>
      </c>
    </row>
    <row r="69" spans="1:7" ht="15">
      <c r="A69" s="112" t="s">
        <v>1495</v>
      </c>
      <c r="B69" s="112">
        <v>5</v>
      </c>
      <c r="C69" s="115">
        <v>0.0034896986610843763</v>
      </c>
      <c r="D69" s="112" t="s">
        <v>329</v>
      </c>
      <c r="E69" s="112" t="b">
        <v>0</v>
      </c>
      <c r="F69" s="112" t="b">
        <v>0</v>
      </c>
      <c r="G69" s="112" t="b">
        <v>0</v>
      </c>
    </row>
    <row r="70" spans="1:7" ht="15">
      <c r="A70" s="112" t="s">
        <v>1496</v>
      </c>
      <c r="B70" s="112">
        <v>5</v>
      </c>
      <c r="C70" s="115">
        <v>0.0034896986610843763</v>
      </c>
      <c r="D70" s="112" t="s">
        <v>329</v>
      </c>
      <c r="E70" s="112" t="b">
        <v>0</v>
      </c>
      <c r="F70" s="112" t="b">
        <v>0</v>
      </c>
      <c r="G70" s="112" t="b">
        <v>0</v>
      </c>
    </row>
    <row r="71" spans="1:7" ht="15">
      <c r="A71" s="112" t="s">
        <v>1497</v>
      </c>
      <c r="B71" s="112">
        <v>4</v>
      </c>
      <c r="C71" s="115">
        <v>0.0023210318050770696</v>
      </c>
      <c r="D71" s="112" t="s">
        <v>329</v>
      </c>
      <c r="E71" s="112" t="b">
        <v>0</v>
      </c>
      <c r="F71" s="112" t="b">
        <v>0</v>
      </c>
      <c r="G71" s="112" t="b">
        <v>0</v>
      </c>
    </row>
    <row r="72" spans="1:7" ht="15">
      <c r="A72" s="112" t="s">
        <v>1498</v>
      </c>
      <c r="B72" s="112">
        <v>4</v>
      </c>
      <c r="C72" s="115">
        <v>0.002045674089587341</v>
      </c>
      <c r="D72" s="112" t="s">
        <v>329</v>
      </c>
      <c r="E72" s="112" t="b">
        <v>0</v>
      </c>
      <c r="F72" s="112" t="b">
        <v>0</v>
      </c>
      <c r="G72" s="112" t="b">
        <v>0</v>
      </c>
    </row>
    <row r="73" spans="1:7" ht="15">
      <c r="A73" s="112" t="s">
        <v>1499</v>
      </c>
      <c r="B73" s="112">
        <v>4</v>
      </c>
      <c r="C73" s="115">
        <v>0.002045674089587341</v>
      </c>
      <c r="D73" s="112" t="s">
        <v>329</v>
      </c>
      <c r="E73" s="112" t="b">
        <v>0</v>
      </c>
      <c r="F73" s="112" t="b">
        <v>0</v>
      </c>
      <c r="G73" s="112" t="b">
        <v>0</v>
      </c>
    </row>
    <row r="74" spans="1:7" ht="15">
      <c r="A74" s="112" t="s">
        <v>1500</v>
      </c>
      <c r="B74" s="112">
        <v>4</v>
      </c>
      <c r="C74" s="115">
        <v>0.002045674089587341</v>
      </c>
      <c r="D74" s="112" t="s">
        <v>329</v>
      </c>
      <c r="E74" s="112" t="b">
        <v>0</v>
      </c>
      <c r="F74" s="112" t="b">
        <v>0</v>
      </c>
      <c r="G74" s="112" t="b">
        <v>0</v>
      </c>
    </row>
    <row r="75" spans="1:7" ht="15">
      <c r="A75" s="112" t="s">
        <v>309</v>
      </c>
      <c r="B75" s="112">
        <v>4</v>
      </c>
      <c r="C75" s="115">
        <v>0.0018503046812866374</v>
      </c>
      <c r="D75" s="112" t="s">
        <v>329</v>
      </c>
      <c r="E75" s="112" t="b">
        <v>0</v>
      </c>
      <c r="F75" s="112" t="b">
        <v>0</v>
      </c>
      <c r="G75" s="112" t="b">
        <v>0</v>
      </c>
    </row>
    <row r="76" spans="1:7" ht="15">
      <c r="A76" s="112" t="s">
        <v>1501</v>
      </c>
      <c r="B76" s="112">
        <v>4</v>
      </c>
      <c r="C76" s="115">
        <v>0.0018503046812866374</v>
      </c>
      <c r="D76" s="112" t="s">
        <v>329</v>
      </c>
      <c r="E76" s="112" t="b">
        <v>0</v>
      </c>
      <c r="F76" s="112" t="b">
        <v>0</v>
      </c>
      <c r="G76" s="112" t="b">
        <v>0</v>
      </c>
    </row>
    <row r="77" spans="1:7" ht="15">
      <c r="A77" s="112" t="s">
        <v>1502</v>
      </c>
      <c r="B77" s="112">
        <v>4</v>
      </c>
      <c r="C77" s="115">
        <v>0.0018503046812866374</v>
      </c>
      <c r="D77" s="112" t="s">
        <v>329</v>
      </c>
      <c r="E77" s="112" t="b">
        <v>0</v>
      </c>
      <c r="F77" s="112" t="b">
        <v>0</v>
      </c>
      <c r="G77" s="112" t="b">
        <v>0</v>
      </c>
    </row>
    <row r="78" spans="1:7" ht="15">
      <c r="A78" s="112" t="s">
        <v>1503</v>
      </c>
      <c r="B78" s="112">
        <v>4</v>
      </c>
      <c r="C78" s="115">
        <v>0.0023210318050770696</v>
      </c>
      <c r="D78" s="112" t="s">
        <v>329</v>
      </c>
      <c r="E78" s="112" t="b">
        <v>0</v>
      </c>
      <c r="F78" s="112" t="b">
        <v>0</v>
      </c>
      <c r="G78" s="112" t="b">
        <v>0</v>
      </c>
    </row>
    <row r="79" spans="1:7" ht="15">
      <c r="A79" s="112" t="s">
        <v>1504</v>
      </c>
      <c r="B79" s="112">
        <v>4</v>
      </c>
      <c r="C79" s="115">
        <v>0.0018503046812866374</v>
      </c>
      <c r="D79" s="112" t="s">
        <v>329</v>
      </c>
      <c r="E79" s="112" t="b">
        <v>0</v>
      </c>
      <c r="F79" s="112" t="b">
        <v>0</v>
      </c>
      <c r="G79" s="112" t="b">
        <v>0</v>
      </c>
    </row>
    <row r="80" spans="1:7" ht="15">
      <c r="A80" s="112" t="s">
        <v>1505</v>
      </c>
      <c r="B80" s="112">
        <v>4</v>
      </c>
      <c r="C80" s="115">
        <v>0.0027917589288675012</v>
      </c>
      <c r="D80" s="112" t="s">
        <v>329</v>
      </c>
      <c r="E80" s="112" t="b">
        <v>0</v>
      </c>
      <c r="F80" s="112" t="b">
        <v>0</v>
      </c>
      <c r="G80" s="112" t="b">
        <v>0</v>
      </c>
    </row>
    <row r="81" spans="1:7" ht="15">
      <c r="A81" s="112" t="s">
        <v>1506</v>
      </c>
      <c r="B81" s="112">
        <v>4</v>
      </c>
      <c r="C81" s="115">
        <v>0.0023210318050770696</v>
      </c>
      <c r="D81" s="112" t="s">
        <v>329</v>
      </c>
      <c r="E81" s="112" t="b">
        <v>0</v>
      </c>
      <c r="F81" s="112" t="b">
        <v>0</v>
      </c>
      <c r="G81" s="112" t="b">
        <v>0</v>
      </c>
    </row>
    <row r="82" spans="1:7" ht="15">
      <c r="A82" s="112" t="s">
        <v>295</v>
      </c>
      <c r="B82" s="112">
        <v>4</v>
      </c>
      <c r="C82" s="115">
        <v>0.0018503046812866374</v>
      </c>
      <c r="D82" s="112" t="s">
        <v>329</v>
      </c>
      <c r="E82" s="112" t="b">
        <v>0</v>
      </c>
      <c r="F82" s="112" t="b">
        <v>0</v>
      </c>
      <c r="G82" s="112" t="b">
        <v>0</v>
      </c>
    </row>
    <row r="83" spans="1:7" ht="15">
      <c r="A83" s="112" t="s">
        <v>1507</v>
      </c>
      <c r="B83" s="112">
        <v>4</v>
      </c>
      <c r="C83" s="115">
        <v>0.0018503046812866374</v>
      </c>
      <c r="D83" s="112" t="s">
        <v>329</v>
      </c>
      <c r="E83" s="112" t="b">
        <v>0</v>
      </c>
      <c r="F83" s="112" t="b">
        <v>0</v>
      </c>
      <c r="G83" s="112" t="b">
        <v>0</v>
      </c>
    </row>
    <row r="84" spans="1:7" ht="15">
      <c r="A84" s="112" t="s">
        <v>1508</v>
      </c>
      <c r="B84" s="112">
        <v>4</v>
      </c>
      <c r="C84" s="115">
        <v>0.0018503046812866374</v>
      </c>
      <c r="D84" s="112" t="s">
        <v>329</v>
      </c>
      <c r="E84" s="112" t="b">
        <v>0</v>
      </c>
      <c r="F84" s="112" t="b">
        <v>0</v>
      </c>
      <c r="G84" s="112" t="b">
        <v>0</v>
      </c>
    </row>
    <row r="85" spans="1:7" ht="15">
      <c r="A85" s="112" t="s">
        <v>1509</v>
      </c>
      <c r="B85" s="112">
        <v>4</v>
      </c>
      <c r="C85" s="115">
        <v>0.0018503046812866374</v>
      </c>
      <c r="D85" s="112" t="s">
        <v>329</v>
      </c>
      <c r="E85" s="112" t="b">
        <v>0</v>
      </c>
      <c r="F85" s="112" t="b">
        <v>0</v>
      </c>
      <c r="G85" s="112" t="b">
        <v>0</v>
      </c>
    </row>
    <row r="86" spans="1:7" ht="15">
      <c r="A86" s="112" t="s">
        <v>1510</v>
      </c>
      <c r="B86" s="112">
        <v>4</v>
      </c>
      <c r="C86" s="115">
        <v>0.0027917589288675012</v>
      </c>
      <c r="D86" s="112" t="s">
        <v>329</v>
      </c>
      <c r="E86" s="112" t="b">
        <v>0</v>
      </c>
      <c r="F86" s="112" t="b">
        <v>0</v>
      </c>
      <c r="G86" s="112" t="b">
        <v>0</v>
      </c>
    </row>
    <row r="87" spans="1:7" ht="15">
      <c r="A87" s="112" t="s">
        <v>1511</v>
      </c>
      <c r="B87" s="112">
        <v>4</v>
      </c>
      <c r="C87" s="115">
        <v>0.0018503046812866374</v>
      </c>
      <c r="D87" s="112" t="s">
        <v>329</v>
      </c>
      <c r="E87" s="112" t="b">
        <v>0</v>
      </c>
      <c r="F87" s="112" t="b">
        <v>0</v>
      </c>
      <c r="G87" s="112" t="b">
        <v>0</v>
      </c>
    </row>
    <row r="88" spans="1:7" ht="15">
      <c r="A88" s="112" t="s">
        <v>304</v>
      </c>
      <c r="B88" s="112">
        <v>4</v>
      </c>
      <c r="C88" s="115">
        <v>0.0018503046812866374</v>
      </c>
      <c r="D88" s="112" t="s">
        <v>329</v>
      </c>
      <c r="E88" s="112" t="b">
        <v>1</v>
      </c>
      <c r="F88" s="112" t="b">
        <v>0</v>
      </c>
      <c r="G88" s="112" t="b">
        <v>0</v>
      </c>
    </row>
    <row r="89" spans="1:7" ht="15">
      <c r="A89" s="112" t="s">
        <v>307</v>
      </c>
      <c r="B89" s="112">
        <v>4</v>
      </c>
      <c r="C89" s="115">
        <v>0.0023210318050770696</v>
      </c>
      <c r="D89" s="112" t="s">
        <v>329</v>
      </c>
      <c r="E89" s="112" t="b">
        <v>0</v>
      </c>
      <c r="F89" s="112" t="b">
        <v>0</v>
      </c>
      <c r="G89" s="112" t="b">
        <v>0</v>
      </c>
    </row>
    <row r="90" spans="1:7" ht="15">
      <c r="A90" s="112" t="s">
        <v>1512</v>
      </c>
      <c r="B90" s="112">
        <v>4</v>
      </c>
      <c r="C90" s="115">
        <v>0.002045674089587341</v>
      </c>
      <c r="D90" s="112" t="s">
        <v>329</v>
      </c>
      <c r="E90" s="112" t="b">
        <v>0</v>
      </c>
      <c r="F90" s="112" t="b">
        <v>0</v>
      </c>
      <c r="G90" s="112" t="b">
        <v>0</v>
      </c>
    </row>
    <row r="91" spans="1:7" ht="15">
      <c r="A91" s="112" t="s">
        <v>1513</v>
      </c>
      <c r="B91" s="112">
        <v>4</v>
      </c>
      <c r="C91" s="115">
        <v>0.0018503046812866374</v>
      </c>
      <c r="D91" s="112" t="s">
        <v>329</v>
      </c>
      <c r="E91" s="112" t="b">
        <v>0</v>
      </c>
      <c r="F91" s="112" t="b">
        <v>0</v>
      </c>
      <c r="G91" s="112" t="b">
        <v>0</v>
      </c>
    </row>
    <row r="92" spans="1:7" ht="15">
      <c r="A92" s="112" t="s">
        <v>312</v>
      </c>
      <c r="B92" s="112">
        <v>4</v>
      </c>
      <c r="C92" s="115">
        <v>0.0018503046812866374</v>
      </c>
      <c r="D92" s="112" t="s">
        <v>329</v>
      </c>
      <c r="E92" s="112" t="b">
        <v>0</v>
      </c>
      <c r="F92" s="112" t="b">
        <v>0</v>
      </c>
      <c r="G92" s="112" t="b">
        <v>0</v>
      </c>
    </row>
    <row r="93" spans="1:7" ht="15">
      <c r="A93" s="112" t="s">
        <v>1514</v>
      </c>
      <c r="B93" s="112">
        <v>4</v>
      </c>
      <c r="C93" s="115">
        <v>0.002045674089587341</v>
      </c>
      <c r="D93" s="112" t="s">
        <v>329</v>
      </c>
      <c r="E93" s="112" t="b">
        <v>0</v>
      </c>
      <c r="F93" s="112" t="b">
        <v>0</v>
      </c>
      <c r="G93" s="112" t="b">
        <v>0</v>
      </c>
    </row>
    <row r="94" spans="1:7" ht="15">
      <c r="A94" s="112" t="s">
        <v>1515</v>
      </c>
      <c r="B94" s="112">
        <v>4</v>
      </c>
      <c r="C94" s="115">
        <v>0.0018503046812866374</v>
      </c>
      <c r="D94" s="112" t="s">
        <v>329</v>
      </c>
      <c r="E94" s="112" t="b">
        <v>0</v>
      </c>
      <c r="F94" s="112" t="b">
        <v>0</v>
      </c>
      <c r="G94" s="112" t="b">
        <v>0</v>
      </c>
    </row>
    <row r="95" spans="1:7" ht="15">
      <c r="A95" s="112" t="s">
        <v>1516</v>
      </c>
      <c r="B95" s="112">
        <v>4</v>
      </c>
      <c r="C95" s="115">
        <v>0.0018503046812866374</v>
      </c>
      <c r="D95" s="112" t="s">
        <v>329</v>
      </c>
      <c r="E95" s="112" t="b">
        <v>0</v>
      </c>
      <c r="F95" s="112" t="b">
        <v>0</v>
      </c>
      <c r="G95" s="112" t="b">
        <v>0</v>
      </c>
    </row>
    <row r="96" spans="1:7" ht="15">
      <c r="A96" s="112" t="s">
        <v>316</v>
      </c>
      <c r="B96" s="112">
        <v>4</v>
      </c>
      <c r="C96" s="115">
        <v>0.0018503046812866374</v>
      </c>
      <c r="D96" s="112" t="s">
        <v>329</v>
      </c>
      <c r="E96" s="112" t="b">
        <v>0</v>
      </c>
      <c r="F96" s="112" t="b">
        <v>0</v>
      </c>
      <c r="G96" s="112" t="b">
        <v>0</v>
      </c>
    </row>
    <row r="97" spans="1:7" ht="15">
      <c r="A97" s="112" t="s">
        <v>297</v>
      </c>
      <c r="B97" s="112">
        <v>4</v>
      </c>
      <c r="C97" s="115">
        <v>0.002045674089587341</v>
      </c>
      <c r="D97" s="112" t="s">
        <v>329</v>
      </c>
      <c r="E97" s="112" t="b">
        <v>0</v>
      </c>
      <c r="F97" s="112" t="b">
        <v>0</v>
      </c>
      <c r="G97" s="112" t="b">
        <v>0</v>
      </c>
    </row>
    <row r="98" spans="1:7" ht="15">
      <c r="A98" s="112" t="s">
        <v>1517</v>
      </c>
      <c r="B98" s="112">
        <v>4</v>
      </c>
      <c r="C98" s="115">
        <v>0.0023210318050770696</v>
      </c>
      <c r="D98" s="112" t="s">
        <v>329</v>
      </c>
      <c r="E98" s="112" t="b">
        <v>0</v>
      </c>
      <c r="F98" s="112" t="b">
        <v>0</v>
      </c>
      <c r="G98" s="112" t="b">
        <v>0</v>
      </c>
    </row>
    <row r="99" spans="1:7" ht="15">
      <c r="A99" s="112" t="s">
        <v>1518</v>
      </c>
      <c r="B99" s="112">
        <v>4</v>
      </c>
      <c r="C99" s="115">
        <v>0.002045674089587341</v>
      </c>
      <c r="D99" s="112" t="s">
        <v>329</v>
      </c>
      <c r="E99" s="112" t="b">
        <v>0</v>
      </c>
      <c r="F99" s="112" t="b">
        <v>0</v>
      </c>
      <c r="G99" s="112" t="b">
        <v>0</v>
      </c>
    </row>
    <row r="100" spans="1:7" ht="15">
      <c r="A100" s="112" t="s">
        <v>1519</v>
      </c>
      <c r="B100" s="112">
        <v>4</v>
      </c>
      <c r="C100" s="115">
        <v>0.0018503046812866374</v>
      </c>
      <c r="D100" s="112" t="s">
        <v>329</v>
      </c>
      <c r="E100" s="112" t="b">
        <v>1</v>
      </c>
      <c r="F100" s="112" t="b">
        <v>0</v>
      </c>
      <c r="G100" s="112" t="b">
        <v>0</v>
      </c>
    </row>
    <row r="101" spans="1:7" ht="15">
      <c r="A101" s="112" t="s">
        <v>1520</v>
      </c>
      <c r="B101" s="112">
        <v>4</v>
      </c>
      <c r="C101" s="115">
        <v>0.0023210318050770696</v>
      </c>
      <c r="D101" s="112" t="s">
        <v>329</v>
      </c>
      <c r="E101" s="112" t="b">
        <v>0</v>
      </c>
      <c r="F101" s="112" t="b">
        <v>0</v>
      </c>
      <c r="G101" s="112" t="b">
        <v>0</v>
      </c>
    </row>
    <row r="102" spans="1:7" ht="15">
      <c r="A102" s="112" t="s">
        <v>1521</v>
      </c>
      <c r="B102" s="112">
        <v>4</v>
      </c>
      <c r="C102" s="115">
        <v>0.0023210318050770696</v>
      </c>
      <c r="D102" s="112" t="s">
        <v>329</v>
      </c>
      <c r="E102" s="112" t="b">
        <v>0</v>
      </c>
      <c r="F102" s="112" t="b">
        <v>0</v>
      </c>
      <c r="G102" s="112" t="b">
        <v>0</v>
      </c>
    </row>
    <row r="103" spans="1:7" ht="15">
      <c r="A103" s="112" t="s">
        <v>1522</v>
      </c>
      <c r="B103" s="112">
        <v>3</v>
      </c>
      <c r="C103" s="115">
        <v>0.001534255567190506</v>
      </c>
      <c r="D103" s="112" t="s">
        <v>329</v>
      </c>
      <c r="E103" s="112" t="b">
        <v>0</v>
      </c>
      <c r="F103" s="112" t="b">
        <v>0</v>
      </c>
      <c r="G103" s="112" t="b">
        <v>0</v>
      </c>
    </row>
    <row r="104" spans="1:7" ht="15">
      <c r="A104" s="112" t="s">
        <v>1523</v>
      </c>
      <c r="B104" s="112">
        <v>3</v>
      </c>
      <c r="C104" s="115">
        <v>0.001534255567190506</v>
      </c>
      <c r="D104" s="112" t="s">
        <v>329</v>
      </c>
      <c r="E104" s="112" t="b">
        <v>0</v>
      </c>
      <c r="F104" s="112" t="b">
        <v>0</v>
      </c>
      <c r="G104" s="112" t="b">
        <v>0</v>
      </c>
    </row>
    <row r="105" spans="1:7" ht="15">
      <c r="A105" s="112" t="s">
        <v>1524</v>
      </c>
      <c r="B105" s="112">
        <v>3</v>
      </c>
      <c r="C105" s="115">
        <v>0.001534255567190506</v>
      </c>
      <c r="D105" s="112" t="s">
        <v>329</v>
      </c>
      <c r="E105" s="112" t="b">
        <v>0</v>
      </c>
      <c r="F105" s="112" t="b">
        <v>0</v>
      </c>
      <c r="G105" s="112" t="b">
        <v>0</v>
      </c>
    </row>
    <row r="106" spans="1:7" ht="15">
      <c r="A106" s="112" t="s">
        <v>1525</v>
      </c>
      <c r="B106" s="112">
        <v>3</v>
      </c>
      <c r="C106" s="115">
        <v>0.001534255567190506</v>
      </c>
      <c r="D106" s="112" t="s">
        <v>329</v>
      </c>
      <c r="E106" s="112" t="b">
        <v>0</v>
      </c>
      <c r="F106" s="112" t="b">
        <v>0</v>
      </c>
      <c r="G106" s="112" t="b">
        <v>0</v>
      </c>
    </row>
    <row r="107" spans="1:7" ht="15">
      <c r="A107" s="112" t="s">
        <v>1526</v>
      </c>
      <c r="B107" s="112">
        <v>3</v>
      </c>
      <c r="C107" s="115">
        <v>0.001534255567190506</v>
      </c>
      <c r="D107" s="112" t="s">
        <v>329</v>
      </c>
      <c r="E107" s="112" t="b">
        <v>0</v>
      </c>
      <c r="F107" s="112" t="b">
        <v>0</v>
      </c>
      <c r="G107" s="112" t="b">
        <v>0</v>
      </c>
    </row>
    <row r="108" spans="1:7" ht="15">
      <c r="A108" s="112" t="s">
        <v>1527</v>
      </c>
      <c r="B108" s="112">
        <v>3</v>
      </c>
      <c r="C108" s="115">
        <v>0.0017407738538078022</v>
      </c>
      <c r="D108" s="112" t="s">
        <v>329</v>
      </c>
      <c r="E108" s="112" t="b">
        <v>0</v>
      </c>
      <c r="F108" s="112" t="b">
        <v>0</v>
      </c>
      <c r="G108" s="112" t="b">
        <v>0</v>
      </c>
    </row>
    <row r="109" spans="1:7" ht="15">
      <c r="A109" s="112" t="s">
        <v>1528</v>
      </c>
      <c r="B109" s="112">
        <v>3</v>
      </c>
      <c r="C109" s="115">
        <v>0.001534255567190506</v>
      </c>
      <c r="D109" s="112" t="s">
        <v>329</v>
      </c>
      <c r="E109" s="112" t="b">
        <v>1</v>
      </c>
      <c r="F109" s="112" t="b">
        <v>0</v>
      </c>
      <c r="G109" s="112" t="b">
        <v>0</v>
      </c>
    </row>
    <row r="110" spans="1:7" ht="15">
      <c r="A110" s="112" t="s">
        <v>1529</v>
      </c>
      <c r="B110" s="112">
        <v>3</v>
      </c>
      <c r="C110" s="115">
        <v>0.0017407738538078022</v>
      </c>
      <c r="D110" s="112" t="s">
        <v>329</v>
      </c>
      <c r="E110" s="112" t="b">
        <v>0</v>
      </c>
      <c r="F110" s="112" t="b">
        <v>0</v>
      </c>
      <c r="G110" s="112" t="b">
        <v>0</v>
      </c>
    </row>
    <row r="111" spans="1:7" ht="15">
      <c r="A111" s="112" t="s">
        <v>1530</v>
      </c>
      <c r="B111" s="112">
        <v>3</v>
      </c>
      <c r="C111" s="115">
        <v>0.001534255567190506</v>
      </c>
      <c r="D111" s="112" t="s">
        <v>329</v>
      </c>
      <c r="E111" s="112" t="b">
        <v>0</v>
      </c>
      <c r="F111" s="112" t="b">
        <v>0</v>
      </c>
      <c r="G111" s="112" t="b">
        <v>0</v>
      </c>
    </row>
    <row r="112" spans="1:7" ht="15">
      <c r="A112" s="112" t="s">
        <v>1531</v>
      </c>
      <c r="B112" s="112">
        <v>3</v>
      </c>
      <c r="C112" s="115">
        <v>0.001534255567190506</v>
      </c>
      <c r="D112" s="112" t="s">
        <v>329</v>
      </c>
      <c r="E112" s="112" t="b">
        <v>0</v>
      </c>
      <c r="F112" s="112" t="b">
        <v>0</v>
      </c>
      <c r="G112" s="112" t="b">
        <v>0</v>
      </c>
    </row>
    <row r="113" spans="1:7" ht="15">
      <c r="A113" s="112" t="s">
        <v>1532</v>
      </c>
      <c r="B113" s="112">
        <v>3</v>
      </c>
      <c r="C113" s="115">
        <v>0.001534255567190506</v>
      </c>
      <c r="D113" s="112" t="s">
        <v>329</v>
      </c>
      <c r="E113" s="112" t="b">
        <v>0</v>
      </c>
      <c r="F113" s="112" t="b">
        <v>0</v>
      </c>
      <c r="G113" s="112" t="b">
        <v>0</v>
      </c>
    </row>
    <row r="114" spans="1:7" ht="15">
      <c r="A114" s="112" t="s">
        <v>1533</v>
      </c>
      <c r="B114" s="112">
        <v>3</v>
      </c>
      <c r="C114" s="115">
        <v>0.001534255567190506</v>
      </c>
      <c r="D114" s="112" t="s">
        <v>329</v>
      </c>
      <c r="E114" s="112" t="b">
        <v>0</v>
      </c>
      <c r="F114" s="112" t="b">
        <v>0</v>
      </c>
      <c r="G114" s="112" t="b">
        <v>0</v>
      </c>
    </row>
    <row r="115" spans="1:7" ht="15">
      <c r="A115" s="112" t="s">
        <v>1534</v>
      </c>
      <c r="B115" s="112">
        <v>3</v>
      </c>
      <c r="C115" s="115">
        <v>0.0017407738538078022</v>
      </c>
      <c r="D115" s="112" t="s">
        <v>329</v>
      </c>
      <c r="E115" s="112" t="b">
        <v>1</v>
      </c>
      <c r="F115" s="112" t="b">
        <v>0</v>
      </c>
      <c r="G115" s="112" t="b">
        <v>0</v>
      </c>
    </row>
    <row r="116" spans="1:7" ht="15">
      <c r="A116" s="112" t="s">
        <v>1535</v>
      </c>
      <c r="B116" s="112">
        <v>3</v>
      </c>
      <c r="C116" s="115">
        <v>0.001534255567190506</v>
      </c>
      <c r="D116" s="112" t="s">
        <v>329</v>
      </c>
      <c r="E116" s="112" t="b">
        <v>0</v>
      </c>
      <c r="F116" s="112" t="b">
        <v>0</v>
      </c>
      <c r="G116" s="112" t="b">
        <v>0</v>
      </c>
    </row>
    <row r="117" spans="1:7" ht="15">
      <c r="A117" s="112" t="s">
        <v>1536</v>
      </c>
      <c r="B117" s="112">
        <v>3</v>
      </c>
      <c r="C117" s="115">
        <v>0.001534255567190506</v>
      </c>
      <c r="D117" s="112" t="s">
        <v>329</v>
      </c>
      <c r="E117" s="112" t="b">
        <v>0</v>
      </c>
      <c r="F117" s="112" t="b">
        <v>0</v>
      </c>
      <c r="G117" s="112" t="b">
        <v>0</v>
      </c>
    </row>
    <row r="118" spans="1:7" ht="15">
      <c r="A118" s="112" t="s">
        <v>1537</v>
      </c>
      <c r="B118" s="112">
        <v>3</v>
      </c>
      <c r="C118" s="115">
        <v>0.001534255567190506</v>
      </c>
      <c r="D118" s="112" t="s">
        <v>329</v>
      </c>
      <c r="E118" s="112" t="b">
        <v>0</v>
      </c>
      <c r="F118" s="112" t="b">
        <v>0</v>
      </c>
      <c r="G118" s="112" t="b">
        <v>0</v>
      </c>
    </row>
    <row r="119" spans="1:7" ht="15">
      <c r="A119" s="112" t="s">
        <v>1538</v>
      </c>
      <c r="B119" s="112">
        <v>3</v>
      </c>
      <c r="C119" s="115">
        <v>0.0017407738538078022</v>
      </c>
      <c r="D119" s="112" t="s">
        <v>329</v>
      </c>
      <c r="E119" s="112" t="b">
        <v>0</v>
      </c>
      <c r="F119" s="112" t="b">
        <v>0</v>
      </c>
      <c r="G119" s="112" t="b">
        <v>0</v>
      </c>
    </row>
    <row r="120" spans="1:7" ht="15">
      <c r="A120" s="112" t="s">
        <v>1539</v>
      </c>
      <c r="B120" s="112">
        <v>3</v>
      </c>
      <c r="C120" s="115">
        <v>0.001534255567190506</v>
      </c>
      <c r="D120" s="112" t="s">
        <v>329</v>
      </c>
      <c r="E120" s="112" t="b">
        <v>0</v>
      </c>
      <c r="F120" s="112" t="b">
        <v>0</v>
      </c>
      <c r="G120" s="112" t="b">
        <v>0</v>
      </c>
    </row>
    <row r="121" spans="1:7" ht="15">
      <c r="A121" s="112" t="s">
        <v>1540</v>
      </c>
      <c r="B121" s="112">
        <v>3</v>
      </c>
      <c r="C121" s="115">
        <v>0.0017407738538078022</v>
      </c>
      <c r="D121" s="112" t="s">
        <v>329</v>
      </c>
      <c r="E121" s="112" t="b">
        <v>0</v>
      </c>
      <c r="F121" s="112" t="b">
        <v>0</v>
      </c>
      <c r="G121" s="112" t="b">
        <v>0</v>
      </c>
    </row>
    <row r="122" spans="1:7" ht="15">
      <c r="A122" s="112" t="s">
        <v>1541</v>
      </c>
      <c r="B122" s="112">
        <v>3</v>
      </c>
      <c r="C122" s="115">
        <v>0.001534255567190506</v>
      </c>
      <c r="D122" s="112" t="s">
        <v>329</v>
      </c>
      <c r="E122" s="112" t="b">
        <v>1</v>
      </c>
      <c r="F122" s="112" t="b">
        <v>0</v>
      </c>
      <c r="G122" s="112" t="b">
        <v>0</v>
      </c>
    </row>
    <row r="123" spans="1:7" ht="15">
      <c r="A123" s="112" t="s">
        <v>1542</v>
      </c>
      <c r="B123" s="112">
        <v>3</v>
      </c>
      <c r="C123" s="115">
        <v>0.002093819196650626</v>
      </c>
      <c r="D123" s="112" t="s">
        <v>329</v>
      </c>
      <c r="E123" s="112" t="b">
        <v>0</v>
      </c>
      <c r="F123" s="112" t="b">
        <v>0</v>
      </c>
      <c r="G123" s="112" t="b">
        <v>0</v>
      </c>
    </row>
    <row r="124" spans="1:7" ht="15">
      <c r="A124" s="112" t="s">
        <v>1543</v>
      </c>
      <c r="B124" s="112">
        <v>3</v>
      </c>
      <c r="C124" s="115">
        <v>0.001534255567190506</v>
      </c>
      <c r="D124" s="112" t="s">
        <v>329</v>
      </c>
      <c r="E124" s="112" t="b">
        <v>0</v>
      </c>
      <c r="F124" s="112" t="b">
        <v>0</v>
      </c>
      <c r="G124" s="112" t="b">
        <v>0</v>
      </c>
    </row>
    <row r="125" spans="1:7" ht="15">
      <c r="A125" s="112" t="s">
        <v>1544</v>
      </c>
      <c r="B125" s="112">
        <v>3</v>
      </c>
      <c r="C125" s="115">
        <v>0.001534255567190506</v>
      </c>
      <c r="D125" s="112" t="s">
        <v>329</v>
      </c>
      <c r="E125" s="112" t="b">
        <v>0</v>
      </c>
      <c r="F125" s="112" t="b">
        <v>0</v>
      </c>
      <c r="G125" s="112" t="b">
        <v>0</v>
      </c>
    </row>
    <row r="126" spans="1:7" ht="15">
      <c r="A126" s="112" t="s">
        <v>1545</v>
      </c>
      <c r="B126" s="112">
        <v>3</v>
      </c>
      <c r="C126" s="115">
        <v>0.001534255567190506</v>
      </c>
      <c r="D126" s="112" t="s">
        <v>329</v>
      </c>
      <c r="E126" s="112" t="b">
        <v>0</v>
      </c>
      <c r="F126" s="112" t="b">
        <v>0</v>
      </c>
      <c r="G126" s="112" t="b">
        <v>0</v>
      </c>
    </row>
    <row r="127" spans="1:7" ht="15">
      <c r="A127" s="112" t="s">
        <v>1546</v>
      </c>
      <c r="B127" s="112">
        <v>3</v>
      </c>
      <c r="C127" s="115">
        <v>0.0017407738538078022</v>
      </c>
      <c r="D127" s="112" t="s">
        <v>329</v>
      </c>
      <c r="E127" s="112" t="b">
        <v>0</v>
      </c>
      <c r="F127" s="112" t="b">
        <v>0</v>
      </c>
      <c r="G127" s="112" t="b">
        <v>0</v>
      </c>
    </row>
    <row r="128" spans="1:7" ht="15">
      <c r="A128" s="112" t="s">
        <v>1547</v>
      </c>
      <c r="B128" s="112">
        <v>3</v>
      </c>
      <c r="C128" s="115">
        <v>0.0017407738538078022</v>
      </c>
      <c r="D128" s="112" t="s">
        <v>329</v>
      </c>
      <c r="E128" s="112" t="b">
        <v>0</v>
      </c>
      <c r="F128" s="112" t="b">
        <v>0</v>
      </c>
      <c r="G128" s="112" t="b">
        <v>0</v>
      </c>
    </row>
    <row r="129" spans="1:7" ht="15">
      <c r="A129" s="112" t="s">
        <v>1548</v>
      </c>
      <c r="B129" s="112">
        <v>3</v>
      </c>
      <c r="C129" s="115">
        <v>0.0017407738538078022</v>
      </c>
      <c r="D129" s="112" t="s">
        <v>329</v>
      </c>
      <c r="E129" s="112" t="b">
        <v>0</v>
      </c>
      <c r="F129" s="112" t="b">
        <v>0</v>
      </c>
      <c r="G129" s="112" t="b">
        <v>0</v>
      </c>
    </row>
    <row r="130" spans="1:7" ht="15">
      <c r="A130" s="112" t="s">
        <v>1549</v>
      </c>
      <c r="B130" s="112">
        <v>3</v>
      </c>
      <c r="C130" s="115">
        <v>0.001534255567190506</v>
      </c>
      <c r="D130" s="112" t="s">
        <v>329</v>
      </c>
      <c r="E130" s="112" t="b">
        <v>0</v>
      </c>
      <c r="F130" s="112" t="b">
        <v>0</v>
      </c>
      <c r="G130" s="112" t="b">
        <v>0</v>
      </c>
    </row>
    <row r="131" spans="1:7" ht="15">
      <c r="A131" s="112" t="s">
        <v>1550</v>
      </c>
      <c r="B131" s="112">
        <v>3</v>
      </c>
      <c r="C131" s="115">
        <v>0.001534255567190506</v>
      </c>
      <c r="D131" s="112" t="s">
        <v>329</v>
      </c>
      <c r="E131" s="112" t="b">
        <v>1</v>
      </c>
      <c r="F131" s="112" t="b">
        <v>0</v>
      </c>
      <c r="G131" s="112" t="b">
        <v>0</v>
      </c>
    </row>
    <row r="132" spans="1:7" ht="15">
      <c r="A132" s="112" t="s">
        <v>320</v>
      </c>
      <c r="B132" s="112">
        <v>3</v>
      </c>
      <c r="C132" s="115">
        <v>0.0017407738538078022</v>
      </c>
      <c r="D132" s="112" t="s">
        <v>329</v>
      </c>
      <c r="E132" s="112" t="b">
        <v>0</v>
      </c>
      <c r="F132" s="112" t="b">
        <v>0</v>
      </c>
      <c r="G132" s="112" t="b">
        <v>0</v>
      </c>
    </row>
    <row r="133" spans="1:7" ht="15">
      <c r="A133" s="112" t="s">
        <v>1551</v>
      </c>
      <c r="B133" s="112">
        <v>3</v>
      </c>
      <c r="C133" s="115">
        <v>0.001534255567190506</v>
      </c>
      <c r="D133" s="112" t="s">
        <v>329</v>
      </c>
      <c r="E133" s="112" t="b">
        <v>1</v>
      </c>
      <c r="F133" s="112" t="b">
        <v>0</v>
      </c>
      <c r="G133" s="112" t="b">
        <v>0</v>
      </c>
    </row>
    <row r="134" spans="1:7" ht="15">
      <c r="A134" s="112" t="s">
        <v>1552</v>
      </c>
      <c r="B134" s="112">
        <v>3</v>
      </c>
      <c r="C134" s="115">
        <v>0.001534255567190506</v>
      </c>
      <c r="D134" s="112" t="s">
        <v>329</v>
      </c>
      <c r="E134" s="112" t="b">
        <v>0</v>
      </c>
      <c r="F134" s="112" t="b">
        <v>0</v>
      </c>
      <c r="G134" s="112" t="b">
        <v>0</v>
      </c>
    </row>
    <row r="135" spans="1:7" ht="15">
      <c r="A135" s="112" t="s">
        <v>1553</v>
      </c>
      <c r="B135" s="112">
        <v>3</v>
      </c>
      <c r="C135" s="115">
        <v>0.0017407738538078022</v>
      </c>
      <c r="D135" s="112" t="s">
        <v>329</v>
      </c>
      <c r="E135" s="112" t="b">
        <v>0</v>
      </c>
      <c r="F135" s="112" t="b">
        <v>0</v>
      </c>
      <c r="G135" s="112" t="b">
        <v>0</v>
      </c>
    </row>
    <row r="136" spans="1:7" ht="15">
      <c r="A136" s="112" t="s">
        <v>1554</v>
      </c>
      <c r="B136" s="112">
        <v>3</v>
      </c>
      <c r="C136" s="115">
        <v>0.001534255567190506</v>
      </c>
      <c r="D136" s="112" t="s">
        <v>329</v>
      </c>
      <c r="E136" s="112" t="b">
        <v>0</v>
      </c>
      <c r="F136" s="112" t="b">
        <v>0</v>
      </c>
      <c r="G136" s="112" t="b">
        <v>0</v>
      </c>
    </row>
    <row r="137" spans="1:7" ht="15">
      <c r="A137" s="112" t="s">
        <v>1555</v>
      </c>
      <c r="B137" s="112">
        <v>3</v>
      </c>
      <c r="C137" s="115">
        <v>0.001534255567190506</v>
      </c>
      <c r="D137" s="112" t="s">
        <v>329</v>
      </c>
      <c r="E137" s="112" t="b">
        <v>0</v>
      </c>
      <c r="F137" s="112" t="b">
        <v>0</v>
      </c>
      <c r="G137" s="112" t="b">
        <v>0</v>
      </c>
    </row>
    <row r="138" spans="1:7" ht="15">
      <c r="A138" s="112" t="s">
        <v>1556</v>
      </c>
      <c r="B138" s="112">
        <v>3</v>
      </c>
      <c r="C138" s="115">
        <v>0.001534255567190506</v>
      </c>
      <c r="D138" s="112" t="s">
        <v>329</v>
      </c>
      <c r="E138" s="112" t="b">
        <v>0</v>
      </c>
      <c r="F138" s="112" t="b">
        <v>0</v>
      </c>
      <c r="G138" s="112" t="b">
        <v>0</v>
      </c>
    </row>
    <row r="139" spans="1:7" ht="15">
      <c r="A139" s="112" t="s">
        <v>1557</v>
      </c>
      <c r="B139" s="112">
        <v>3</v>
      </c>
      <c r="C139" s="115">
        <v>0.002093819196650626</v>
      </c>
      <c r="D139" s="112" t="s">
        <v>329</v>
      </c>
      <c r="E139" s="112" t="b">
        <v>0</v>
      </c>
      <c r="F139" s="112" t="b">
        <v>0</v>
      </c>
      <c r="G139" s="112" t="b">
        <v>0</v>
      </c>
    </row>
    <row r="140" spans="1:7" ht="15">
      <c r="A140" s="112" t="s">
        <v>1558</v>
      </c>
      <c r="B140" s="112">
        <v>3</v>
      </c>
      <c r="C140" s="115">
        <v>0.0017407738538078022</v>
      </c>
      <c r="D140" s="112" t="s">
        <v>329</v>
      </c>
      <c r="E140" s="112" t="b">
        <v>0</v>
      </c>
      <c r="F140" s="112" t="b">
        <v>0</v>
      </c>
      <c r="G140" s="112" t="b">
        <v>0</v>
      </c>
    </row>
    <row r="141" spans="1:7" ht="15">
      <c r="A141" s="112" t="s">
        <v>1559</v>
      </c>
      <c r="B141" s="112">
        <v>3</v>
      </c>
      <c r="C141" s="115">
        <v>0.001534255567190506</v>
      </c>
      <c r="D141" s="112" t="s">
        <v>329</v>
      </c>
      <c r="E141" s="112" t="b">
        <v>0</v>
      </c>
      <c r="F141" s="112" t="b">
        <v>0</v>
      </c>
      <c r="G141" s="112" t="b">
        <v>0</v>
      </c>
    </row>
    <row r="142" spans="1:7" ht="15">
      <c r="A142" s="112" t="s">
        <v>1560</v>
      </c>
      <c r="B142" s="112">
        <v>3</v>
      </c>
      <c r="C142" s="115">
        <v>0.0017407738538078022</v>
      </c>
      <c r="D142" s="112" t="s">
        <v>329</v>
      </c>
      <c r="E142" s="112" t="b">
        <v>0</v>
      </c>
      <c r="F142" s="112" t="b">
        <v>0</v>
      </c>
      <c r="G142" s="112" t="b">
        <v>0</v>
      </c>
    </row>
    <row r="143" spans="1:7" ht="15">
      <c r="A143" s="112" t="s">
        <v>1561</v>
      </c>
      <c r="B143" s="112">
        <v>3</v>
      </c>
      <c r="C143" s="115">
        <v>0.0017407738538078022</v>
      </c>
      <c r="D143" s="112" t="s">
        <v>329</v>
      </c>
      <c r="E143" s="112" t="b">
        <v>0</v>
      </c>
      <c r="F143" s="112" t="b">
        <v>0</v>
      </c>
      <c r="G143" s="112" t="b">
        <v>0</v>
      </c>
    </row>
    <row r="144" spans="1:7" ht="15">
      <c r="A144" s="112" t="s">
        <v>1562</v>
      </c>
      <c r="B144" s="112">
        <v>3</v>
      </c>
      <c r="C144" s="115">
        <v>0.001534255567190506</v>
      </c>
      <c r="D144" s="112" t="s">
        <v>329</v>
      </c>
      <c r="E144" s="112" t="b">
        <v>0</v>
      </c>
      <c r="F144" s="112" t="b">
        <v>0</v>
      </c>
      <c r="G144" s="112" t="b">
        <v>0</v>
      </c>
    </row>
    <row r="145" spans="1:7" ht="15">
      <c r="A145" s="112" t="s">
        <v>1563</v>
      </c>
      <c r="B145" s="112">
        <v>3</v>
      </c>
      <c r="C145" s="115">
        <v>0.001534255567190506</v>
      </c>
      <c r="D145" s="112" t="s">
        <v>329</v>
      </c>
      <c r="E145" s="112" t="b">
        <v>1</v>
      </c>
      <c r="F145" s="112" t="b">
        <v>0</v>
      </c>
      <c r="G145" s="112" t="b">
        <v>0</v>
      </c>
    </row>
    <row r="146" spans="1:7" ht="15">
      <c r="A146" s="112" t="s">
        <v>1564</v>
      </c>
      <c r="B146" s="112">
        <v>3</v>
      </c>
      <c r="C146" s="115">
        <v>0.0017407738538078022</v>
      </c>
      <c r="D146" s="112" t="s">
        <v>329</v>
      </c>
      <c r="E146" s="112" t="b">
        <v>0</v>
      </c>
      <c r="F146" s="112" t="b">
        <v>0</v>
      </c>
      <c r="G146" s="112" t="b">
        <v>0</v>
      </c>
    </row>
    <row r="147" spans="1:7" ht="15">
      <c r="A147" s="112" t="s">
        <v>1565</v>
      </c>
      <c r="B147" s="112">
        <v>3</v>
      </c>
      <c r="C147" s="115">
        <v>0.0017407738538078022</v>
      </c>
      <c r="D147" s="112" t="s">
        <v>329</v>
      </c>
      <c r="E147" s="112" t="b">
        <v>0</v>
      </c>
      <c r="F147" s="112" t="b">
        <v>0</v>
      </c>
      <c r="G147" s="112" t="b">
        <v>0</v>
      </c>
    </row>
    <row r="148" spans="1:7" ht="15">
      <c r="A148" s="112" t="s">
        <v>1566</v>
      </c>
      <c r="B148" s="112">
        <v>3</v>
      </c>
      <c r="C148" s="115">
        <v>0.001534255567190506</v>
      </c>
      <c r="D148" s="112" t="s">
        <v>329</v>
      </c>
      <c r="E148" s="112" t="b">
        <v>0</v>
      </c>
      <c r="F148" s="112" t="b">
        <v>0</v>
      </c>
      <c r="G148" s="112" t="b">
        <v>0</v>
      </c>
    </row>
    <row r="149" spans="1:7" ht="15">
      <c r="A149" s="112" t="s">
        <v>1567</v>
      </c>
      <c r="B149" s="112">
        <v>3</v>
      </c>
      <c r="C149" s="115">
        <v>0.0017407738538078022</v>
      </c>
      <c r="D149" s="112" t="s">
        <v>329</v>
      </c>
      <c r="E149" s="112" t="b">
        <v>0</v>
      </c>
      <c r="F149" s="112" t="b">
        <v>0</v>
      </c>
      <c r="G149" s="112" t="b">
        <v>0</v>
      </c>
    </row>
    <row r="150" spans="1:7" ht="15">
      <c r="A150" s="112" t="s">
        <v>1568</v>
      </c>
      <c r="B150" s="112">
        <v>3</v>
      </c>
      <c r="C150" s="115">
        <v>0.001534255567190506</v>
      </c>
      <c r="D150" s="112" t="s">
        <v>329</v>
      </c>
      <c r="E150" s="112" t="b">
        <v>0</v>
      </c>
      <c r="F150" s="112" t="b">
        <v>0</v>
      </c>
      <c r="G150" s="112" t="b">
        <v>0</v>
      </c>
    </row>
    <row r="151" spans="1:7" ht="15">
      <c r="A151" s="112" t="s">
        <v>1569</v>
      </c>
      <c r="B151" s="112">
        <v>3</v>
      </c>
      <c r="C151" s="115">
        <v>0.001534255567190506</v>
      </c>
      <c r="D151" s="112" t="s">
        <v>329</v>
      </c>
      <c r="E151" s="112" t="b">
        <v>0</v>
      </c>
      <c r="F151" s="112" t="b">
        <v>0</v>
      </c>
      <c r="G151" s="112" t="b">
        <v>0</v>
      </c>
    </row>
    <row r="152" spans="1:7" ht="15">
      <c r="A152" s="112" t="s">
        <v>1570</v>
      </c>
      <c r="B152" s="112">
        <v>3</v>
      </c>
      <c r="C152" s="115">
        <v>0.001534255567190506</v>
      </c>
      <c r="D152" s="112" t="s">
        <v>329</v>
      </c>
      <c r="E152" s="112" t="b">
        <v>0</v>
      </c>
      <c r="F152" s="112" t="b">
        <v>0</v>
      </c>
      <c r="G152" s="112" t="b">
        <v>0</v>
      </c>
    </row>
    <row r="153" spans="1:7" ht="15">
      <c r="A153" s="112" t="s">
        <v>1571</v>
      </c>
      <c r="B153" s="112">
        <v>3</v>
      </c>
      <c r="C153" s="115">
        <v>0.0017407738538078022</v>
      </c>
      <c r="D153" s="112" t="s">
        <v>329</v>
      </c>
      <c r="E153" s="112" t="b">
        <v>0</v>
      </c>
      <c r="F153" s="112" t="b">
        <v>0</v>
      </c>
      <c r="G153" s="112" t="b">
        <v>0</v>
      </c>
    </row>
    <row r="154" spans="1:7" ht="15">
      <c r="A154" s="112" t="s">
        <v>303</v>
      </c>
      <c r="B154" s="112">
        <v>3</v>
      </c>
      <c r="C154" s="115">
        <v>0.001534255567190506</v>
      </c>
      <c r="D154" s="112" t="s">
        <v>329</v>
      </c>
      <c r="E154" s="112" t="b">
        <v>0</v>
      </c>
      <c r="F154" s="112" t="b">
        <v>0</v>
      </c>
      <c r="G154" s="112" t="b">
        <v>0</v>
      </c>
    </row>
    <row r="155" spans="1:7" ht="15">
      <c r="A155" s="112" t="s">
        <v>1572</v>
      </c>
      <c r="B155" s="112">
        <v>3</v>
      </c>
      <c r="C155" s="115">
        <v>0.001534255567190506</v>
      </c>
      <c r="D155" s="112" t="s">
        <v>329</v>
      </c>
      <c r="E155" s="112" t="b">
        <v>0</v>
      </c>
      <c r="F155" s="112" t="b">
        <v>0</v>
      </c>
      <c r="G155" s="112" t="b">
        <v>0</v>
      </c>
    </row>
    <row r="156" spans="1:7" ht="15">
      <c r="A156" s="112" t="s">
        <v>1573</v>
      </c>
      <c r="B156" s="112">
        <v>3</v>
      </c>
      <c r="C156" s="115">
        <v>0.001534255567190506</v>
      </c>
      <c r="D156" s="112" t="s">
        <v>329</v>
      </c>
      <c r="E156" s="112" t="b">
        <v>0</v>
      </c>
      <c r="F156" s="112" t="b">
        <v>0</v>
      </c>
      <c r="G156" s="112" t="b">
        <v>0</v>
      </c>
    </row>
    <row r="157" spans="1:7" ht="15">
      <c r="A157" s="112" t="s">
        <v>1574</v>
      </c>
      <c r="B157" s="112">
        <v>3</v>
      </c>
      <c r="C157" s="115">
        <v>0.0017407738538078022</v>
      </c>
      <c r="D157" s="112" t="s">
        <v>329</v>
      </c>
      <c r="E157" s="112" t="b">
        <v>0</v>
      </c>
      <c r="F157" s="112" t="b">
        <v>0</v>
      </c>
      <c r="G157" s="112" t="b">
        <v>0</v>
      </c>
    </row>
    <row r="158" spans="1:7" ht="15">
      <c r="A158" s="112" t="s">
        <v>1575</v>
      </c>
      <c r="B158" s="112">
        <v>3</v>
      </c>
      <c r="C158" s="115">
        <v>0.002093819196650626</v>
      </c>
      <c r="D158" s="112" t="s">
        <v>329</v>
      </c>
      <c r="E158" s="112" t="b">
        <v>0</v>
      </c>
      <c r="F158" s="112" t="b">
        <v>0</v>
      </c>
      <c r="G158" s="112" t="b">
        <v>0</v>
      </c>
    </row>
    <row r="159" spans="1:7" ht="15">
      <c r="A159" s="112" t="s">
        <v>1576</v>
      </c>
      <c r="B159" s="112">
        <v>3</v>
      </c>
      <c r="C159" s="115">
        <v>0.001534255567190506</v>
      </c>
      <c r="D159" s="112" t="s">
        <v>329</v>
      </c>
      <c r="E159" s="112" t="b">
        <v>0</v>
      </c>
      <c r="F159" s="112" t="b">
        <v>0</v>
      </c>
      <c r="G159" s="112" t="b">
        <v>0</v>
      </c>
    </row>
    <row r="160" spans="1:7" ht="15">
      <c r="A160" s="112" t="s">
        <v>1577</v>
      </c>
      <c r="B160" s="112">
        <v>3</v>
      </c>
      <c r="C160" s="115">
        <v>0.001534255567190506</v>
      </c>
      <c r="D160" s="112" t="s">
        <v>329</v>
      </c>
      <c r="E160" s="112" t="b">
        <v>0</v>
      </c>
      <c r="F160" s="112" t="b">
        <v>0</v>
      </c>
      <c r="G160" s="112" t="b">
        <v>0</v>
      </c>
    </row>
    <row r="161" spans="1:7" ht="15">
      <c r="A161" s="112" t="s">
        <v>1578</v>
      </c>
      <c r="B161" s="112">
        <v>3</v>
      </c>
      <c r="C161" s="115">
        <v>0.002093819196650626</v>
      </c>
      <c r="D161" s="112" t="s">
        <v>329</v>
      </c>
      <c r="E161" s="112" t="b">
        <v>0</v>
      </c>
      <c r="F161" s="112" t="b">
        <v>0</v>
      </c>
      <c r="G161" s="112" t="b">
        <v>0</v>
      </c>
    </row>
    <row r="162" spans="1:7" ht="15">
      <c r="A162" s="112" t="s">
        <v>1579</v>
      </c>
      <c r="B162" s="112">
        <v>3</v>
      </c>
      <c r="C162" s="115">
        <v>0.0017407738538078022</v>
      </c>
      <c r="D162" s="112" t="s">
        <v>329</v>
      </c>
      <c r="E162" s="112" t="b">
        <v>0</v>
      </c>
      <c r="F162" s="112" t="b">
        <v>0</v>
      </c>
      <c r="G162" s="112" t="b">
        <v>0</v>
      </c>
    </row>
    <row r="163" spans="1:7" ht="15">
      <c r="A163" s="112" t="s">
        <v>1580</v>
      </c>
      <c r="B163" s="112">
        <v>3</v>
      </c>
      <c r="C163" s="115">
        <v>0.0017407738538078022</v>
      </c>
      <c r="D163" s="112" t="s">
        <v>329</v>
      </c>
      <c r="E163" s="112" t="b">
        <v>0</v>
      </c>
      <c r="F163" s="112" t="b">
        <v>0</v>
      </c>
      <c r="G163" s="112" t="b">
        <v>0</v>
      </c>
    </row>
    <row r="164" spans="1:7" ht="15">
      <c r="A164" s="112" t="s">
        <v>1581</v>
      </c>
      <c r="B164" s="112">
        <v>3</v>
      </c>
      <c r="C164" s="115">
        <v>0.0017407738538078022</v>
      </c>
      <c r="D164" s="112" t="s">
        <v>329</v>
      </c>
      <c r="E164" s="112" t="b">
        <v>0</v>
      </c>
      <c r="F164" s="112" t="b">
        <v>0</v>
      </c>
      <c r="G164" s="112" t="b">
        <v>0</v>
      </c>
    </row>
    <row r="165" spans="1:7" ht="15">
      <c r="A165" s="112" t="s">
        <v>1582</v>
      </c>
      <c r="B165" s="112">
        <v>3</v>
      </c>
      <c r="C165" s="115">
        <v>0.0017407738538078022</v>
      </c>
      <c r="D165" s="112" t="s">
        <v>329</v>
      </c>
      <c r="E165" s="112" t="b">
        <v>0</v>
      </c>
      <c r="F165" s="112" t="b">
        <v>0</v>
      </c>
      <c r="G165" s="112" t="b">
        <v>0</v>
      </c>
    </row>
    <row r="166" spans="1:7" ht="15">
      <c r="A166" s="112" t="s">
        <v>301</v>
      </c>
      <c r="B166" s="112">
        <v>3</v>
      </c>
      <c r="C166" s="115">
        <v>0.001534255567190506</v>
      </c>
      <c r="D166" s="112" t="s">
        <v>329</v>
      </c>
      <c r="E166" s="112" t="b">
        <v>0</v>
      </c>
      <c r="F166" s="112" t="b">
        <v>0</v>
      </c>
      <c r="G166" s="112" t="b">
        <v>0</v>
      </c>
    </row>
    <row r="167" spans="1:7" ht="15">
      <c r="A167" s="112" t="s">
        <v>1583</v>
      </c>
      <c r="B167" s="112">
        <v>3</v>
      </c>
      <c r="C167" s="115">
        <v>0.001534255567190506</v>
      </c>
      <c r="D167" s="112" t="s">
        <v>329</v>
      </c>
      <c r="E167" s="112" t="b">
        <v>0</v>
      </c>
      <c r="F167" s="112" t="b">
        <v>0</v>
      </c>
      <c r="G167" s="112" t="b">
        <v>0</v>
      </c>
    </row>
    <row r="168" spans="1:7" ht="15">
      <c r="A168" s="112" t="s">
        <v>1584</v>
      </c>
      <c r="B168" s="112">
        <v>3</v>
      </c>
      <c r="C168" s="115">
        <v>0.002093819196650626</v>
      </c>
      <c r="D168" s="112" t="s">
        <v>329</v>
      </c>
      <c r="E168" s="112" t="b">
        <v>0</v>
      </c>
      <c r="F168" s="112" t="b">
        <v>0</v>
      </c>
      <c r="G168" s="112" t="b">
        <v>0</v>
      </c>
    </row>
    <row r="169" spans="1:7" ht="15">
      <c r="A169" s="112" t="s">
        <v>1585</v>
      </c>
      <c r="B169" s="112">
        <v>3</v>
      </c>
      <c r="C169" s="115">
        <v>0.002093819196650626</v>
      </c>
      <c r="D169" s="112" t="s">
        <v>329</v>
      </c>
      <c r="E169" s="112" t="b">
        <v>0</v>
      </c>
      <c r="F169" s="112" t="b">
        <v>0</v>
      </c>
      <c r="G169" s="112" t="b">
        <v>0</v>
      </c>
    </row>
    <row r="170" spans="1:7" ht="15">
      <c r="A170" s="112" t="s">
        <v>1586</v>
      </c>
      <c r="B170" s="112">
        <v>3</v>
      </c>
      <c r="C170" s="115">
        <v>0.002093819196650626</v>
      </c>
      <c r="D170" s="112" t="s">
        <v>329</v>
      </c>
      <c r="E170" s="112" t="b">
        <v>0</v>
      </c>
      <c r="F170" s="112" t="b">
        <v>0</v>
      </c>
      <c r="G170" s="112" t="b">
        <v>0</v>
      </c>
    </row>
    <row r="171" spans="1:7" ht="15">
      <c r="A171" s="112" t="s">
        <v>1587</v>
      </c>
      <c r="B171" s="112">
        <v>3</v>
      </c>
      <c r="C171" s="115">
        <v>0.001534255567190506</v>
      </c>
      <c r="D171" s="112" t="s">
        <v>329</v>
      </c>
      <c r="E171" s="112" t="b">
        <v>0</v>
      </c>
      <c r="F171" s="112" t="b">
        <v>0</v>
      </c>
      <c r="G171" s="112" t="b">
        <v>0</v>
      </c>
    </row>
    <row r="172" spans="1:7" ht="15">
      <c r="A172" s="112" t="s">
        <v>1588</v>
      </c>
      <c r="B172" s="112">
        <v>3</v>
      </c>
      <c r="C172" s="115">
        <v>0.001534255567190506</v>
      </c>
      <c r="D172" s="112" t="s">
        <v>329</v>
      </c>
      <c r="E172" s="112" t="b">
        <v>0</v>
      </c>
      <c r="F172" s="112" t="b">
        <v>0</v>
      </c>
      <c r="G172" s="112" t="b">
        <v>0</v>
      </c>
    </row>
    <row r="173" spans="1:7" ht="15">
      <c r="A173" s="112" t="s">
        <v>1589</v>
      </c>
      <c r="B173" s="112">
        <v>3</v>
      </c>
      <c r="C173" s="115">
        <v>0.002093819196650626</v>
      </c>
      <c r="D173" s="112" t="s">
        <v>329</v>
      </c>
      <c r="E173" s="112" t="b">
        <v>0</v>
      </c>
      <c r="F173" s="112" t="b">
        <v>0</v>
      </c>
      <c r="G173" s="112" t="b">
        <v>0</v>
      </c>
    </row>
    <row r="174" spans="1:7" ht="15">
      <c r="A174" s="112" t="s">
        <v>1590</v>
      </c>
      <c r="B174" s="112">
        <v>3</v>
      </c>
      <c r="C174" s="115">
        <v>0.001534255567190506</v>
      </c>
      <c r="D174" s="112" t="s">
        <v>329</v>
      </c>
      <c r="E174" s="112" t="b">
        <v>0</v>
      </c>
      <c r="F174" s="112" t="b">
        <v>0</v>
      </c>
      <c r="G174" s="112" t="b">
        <v>0</v>
      </c>
    </row>
    <row r="175" spans="1:7" ht="15">
      <c r="A175" s="112" t="s">
        <v>1591</v>
      </c>
      <c r="B175" s="112">
        <v>3</v>
      </c>
      <c r="C175" s="115">
        <v>0.002093819196650626</v>
      </c>
      <c r="D175" s="112" t="s">
        <v>329</v>
      </c>
      <c r="E175" s="112" t="b">
        <v>0</v>
      </c>
      <c r="F175" s="112" t="b">
        <v>0</v>
      </c>
      <c r="G175" s="112" t="b">
        <v>0</v>
      </c>
    </row>
    <row r="176" spans="1:7" ht="15">
      <c r="A176" s="112" t="s">
        <v>1592</v>
      </c>
      <c r="B176" s="112">
        <v>3</v>
      </c>
      <c r="C176" s="115">
        <v>0.002093819196650626</v>
      </c>
      <c r="D176" s="112" t="s">
        <v>329</v>
      </c>
      <c r="E176" s="112" t="b">
        <v>0</v>
      </c>
      <c r="F176" s="112" t="b">
        <v>0</v>
      </c>
      <c r="G176" s="112" t="b">
        <v>0</v>
      </c>
    </row>
    <row r="177" spans="1:7" ht="15">
      <c r="A177" s="112" t="s">
        <v>1593</v>
      </c>
      <c r="B177" s="112">
        <v>3</v>
      </c>
      <c r="C177" s="115">
        <v>0.002093819196650626</v>
      </c>
      <c r="D177" s="112" t="s">
        <v>329</v>
      </c>
      <c r="E177" s="112" t="b">
        <v>0</v>
      </c>
      <c r="F177" s="112" t="b">
        <v>0</v>
      </c>
      <c r="G177" s="112" t="b">
        <v>0</v>
      </c>
    </row>
    <row r="178" spans="1:7" ht="15">
      <c r="A178" s="112" t="s">
        <v>1594</v>
      </c>
      <c r="B178" s="112">
        <v>2</v>
      </c>
      <c r="C178" s="115">
        <v>0.0011605159025385348</v>
      </c>
      <c r="D178" s="112" t="s">
        <v>329</v>
      </c>
      <c r="E178" s="112" t="b">
        <v>0</v>
      </c>
      <c r="F178" s="112" t="b">
        <v>0</v>
      </c>
      <c r="G178" s="112" t="b">
        <v>0</v>
      </c>
    </row>
    <row r="179" spans="1:7" ht="15">
      <c r="A179" s="112" t="s">
        <v>1595</v>
      </c>
      <c r="B179" s="112">
        <v>2</v>
      </c>
      <c r="C179" s="115">
        <v>0.0011605159025385348</v>
      </c>
      <c r="D179" s="112" t="s">
        <v>329</v>
      </c>
      <c r="E179" s="112" t="b">
        <v>0</v>
      </c>
      <c r="F179" s="112" t="b">
        <v>0</v>
      </c>
      <c r="G179" s="112" t="b">
        <v>0</v>
      </c>
    </row>
    <row r="180" spans="1:7" ht="15">
      <c r="A180" s="112" t="s">
        <v>1596</v>
      </c>
      <c r="B180" s="112">
        <v>2</v>
      </c>
      <c r="C180" s="115">
        <v>0.0011605159025385348</v>
      </c>
      <c r="D180" s="112" t="s">
        <v>329</v>
      </c>
      <c r="E180" s="112" t="b">
        <v>0</v>
      </c>
      <c r="F180" s="112" t="b">
        <v>0</v>
      </c>
      <c r="G180" s="112" t="b">
        <v>0</v>
      </c>
    </row>
    <row r="181" spans="1:7" ht="15">
      <c r="A181" s="112" t="s">
        <v>1597</v>
      </c>
      <c r="B181" s="112">
        <v>2</v>
      </c>
      <c r="C181" s="115">
        <v>0.0011605159025385348</v>
      </c>
      <c r="D181" s="112" t="s">
        <v>329</v>
      </c>
      <c r="E181" s="112" t="b">
        <v>0</v>
      </c>
      <c r="F181" s="112" t="b">
        <v>0</v>
      </c>
      <c r="G181" s="112" t="b">
        <v>0</v>
      </c>
    </row>
    <row r="182" spans="1:7" ht="15">
      <c r="A182" s="112" t="s">
        <v>1598</v>
      </c>
      <c r="B182" s="112">
        <v>2</v>
      </c>
      <c r="C182" s="115">
        <v>0.0011605159025385348</v>
      </c>
      <c r="D182" s="112" t="s">
        <v>329</v>
      </c>
      <c r="E182" s="112" t="b">
        <v>0</v>
      </c>
      <c r="F182" s="112" t="b">
        <v>0</v>
      </c>
      <c r="G182" s="112" t="b">
        <v>0</v>
      </c>
    </row>
    <row r="183" spans="1:7" ht="15">
      <c r="A183" s="112" t="s">
        <v>1599</v>
      </c>
      <c r="B183" s="112">
        <v>2</v>
      </c>
      <c r="C183" s="115">
        <v>0.0011605159025385348</v>
      </c>
      <c r="D183" s="112" t="s">
        <v>329</v>
      </c>
      <c r="E183" s="112" t="b">
        <v>0</v>
      </c>
      <c r="F183" s="112" t="b">
        <v>0</v>
      </c>
      <c r="G183" s="112" t="b">
        <v>0</v>
      </c>
    </row>
    <row r="184" spans="1:7" ht="15">
      <c r="A184" s="112" t="s">
        <v>1600</v>
      </c>
      <c r="B184" s="112">
        <v>2</v>
      </c>
      <c r="C184" s="115">
        <v>0.0011605159025385348</v>
      </c>
      <c r="D184" s="112" t="s">
        <v>329</v>
      </c>
      <c r="E184" s="112" t="b">
        <v>0</v>
      </c>
      <c r="F184" s="112" t="b">
        <v>0</v>
      </c>
      <c r="G184" s="112" t="b">
        <v>0</v>
      </c>
    </row>
    <row r="185" spans="1:7" ht="15">
      <c r="A185" s="112" t="s">
        <v>1601</v>
      </c>
      <c r="B185" s="112">
        <v>2</v>
      </c>
      <c r="C185" s="115">
        <v>0.0011605159025385348</v>
      </c>
      <c r="D185" s="112" t="s">
        <v>329</v>
      </c>
      <c r="E185" s="112" t="b">
        <v>0</v>
      </c>
      <c r="F185" s="112" t="b">
        <v>0</v>
      </c>
      <c r="G185" s="112" t="b">
        <v>0</v>
      </c>
    </row>
    <row r="186" spans="1:7" ht="15">
      <c r="A186" s="112" t="s">
        <v>1602</v>
      </c>
      <c r="B186" s="112">
        <v>2</v>
      </c>
      <c r="C186" s="115">
        <v>0.0011605159025385348</v>
      </c>
      <c r="D186" s="112" t="s">
        <v>329</v>
      </c>
      <c r="E186" s="112" t="b">
        <v>0</v>
      </c>
      <c r="F186" s="112" t="b">
        <v>0</v>
      </c>
      <c r="G186" s="112" t="b">
        <v>0</v>
      </c>
    </row>
    <row r="187" spans="1:7" ht="15">
      <c r="A187" s="112" t="s">
        <v>1603</v>
      </c>
      <c r="B187" s="112">
        <v>2</v>
      </c>
      <c r="C187" s="115">
        <v>0.0011605159025385348</v>
      </c>
      <c r="D187" s="112" t="s">
        <v>329</v>
      </c>
      <c r="E187" s="112" t="b">
        <v>0</v>
      </c>
      <c r="F187" s="112" t="b">
        <v>0</v>
      </c>
      <c r="G187" s="112" t="b">
        <v>0</v>
      </c>
    </row>
    <row r="188" spans="1:7" ht="15">
      <c r="A188" s="112" t="s">
        <v>1604</v>
      </c>
      <c r="B188" s="112">
        <v>2</v>
      </c>
      <c r="C188" s="115">
        <v>0.0011605159025385348</v>
      </c>
      <c r="D188" s="112" t="s">
        <v>329</v>
      </c>
      <c r="E188" s="112" t="b">
        <v>0</v>
      </c>
      <c r="F188" s="112" t="b">
        <v>0</v>
      </c>
      <c r="G188" s="112" t="b">
        <v>0</v>
      </c>
    </row>
    <row r="189" spans="1:7" ht="15">
      <c r="A189" s="112" t="s">
        <v>1605</v>
      </c>
      <c r="B189" s="112">
        <v>2</v>
      </c>
      <c r="C189" s="115">
        <v>0.0013958794644337506</v>
      </c>
      <c r="D189" s="112" t="s">
        <v>329</v>
      </c>
      <c r="E189" s="112" t="b">
        <v>0</v>
      </c>
      <c r="F189" s="112" t="b">
        <v>0</v>
      </c>
      <c r="G189" s="112" t="b">
        <v>0</v>
      </c>
    </row>
    <row r="190" spans="1:7" ht="15">
      <c r="A190" s="112" t="s">
        <v>1606</v>
      </c>
      <c r="B190" s="112">
        <v>2</v>
      </c>
      <c r="C190" s="115">
        <v>0.0013958794644337506</v>
      </c>
      <c r="D190" s="112" t="s">
        <v>329</v>
      </c>
      <c r="E190" s="112" t="b">
        <v>0</v>
      </c>
      <c r="F190" s="112" t="b">
        <v>0</v>
      </c>
      <c r="G190" s="112" t="b">
        <v>0</v>
      </c>
    </row>
    <row r="191" spans="1:7" ht="15">
      <c r="A191" s="112" t="s">
        <v>1607</v>
      </c>
      <c r="B191" s="112">
        <v>2</v>
      </c>
      <c r="C191" s="115">
        <v>0.0013958794644337506</v>
      </c>
      <c r="D191" s="112" t="s">
        <v>329</v>
      </c>
      <c r="E191" s="112" t="b">
        <v>0</v>
      </c>
      <c r="F191" s="112" t="b">
        <v>0</v>
      </c>
      <c r="G191" s="112" t="b">
        <v>0</v>
      </c>
    </row>
    <row r="192" spans="1:7" ht="15">
      <c r="A192" s="112" t="s">
        <v>1608</v>
      </c>
      <c r="B192" s="112">
        <v>2</v>
      </c>
      <c r="C192" s="115">
        <v>0.0013958794644337506</v>
      </c>
      <c r="D192" s="112" t="s">
        <v>329</v>
      </c>
      <c r="E192" s="112" t="b">
        <v>0</v>
      </c>
      <c r="F192" s="112" t="b">
        <v>0</v>
      </c>
      <c r="G192" s="112" t="b">
        <v>0</v>
      </c>
    </row>
    <row r="193" spans="1:7" ht="15">
      <c r="A193" s="112" t="s">
        <v>1609</v>
      </c>
      <c r="B193" s="112">
        <v>2</v>
      </c>
      <c r="C193" s="115">
        <v>0.0011605159025385348</v>
      </c>
      <c r="D193" s="112" t="s">
        <v>329</v>
      </c>
      <c r="E193" s="112" t="b">
        <v>0</v>
      </c>
      <c r="F193" s="112" t="b">
        <v>0</v>
      </c>
      <c r="G193" s="112" t="b">
        <v>0</v>
      </c>
    </row>
    <row r="194" spans="1:7" ht="15">
      <c r="A194" s="112" t="s">
        <v>313</v>
      </c>
      <c r="B194" s="112">
        <v>2</v>
      </c>
      <c r="C194" s="115">
        <v>0.0011605159025385348</v>
      </c>
      <c r="D194" s="112" t="s">
        <v>329</v>
      </c>
      <c r="E194" s="112" t="b">
        <v>0</v>
      </c>
      <c r="F194" s="112" t="b">
        <v>0</v>
      </c>
      <c r="G194" s="112" t="b">
        <v>0</v>
      </c>
    </row>
    <row r="195" spans="1:7" ht="15">
      <c r="A195" s="112" t="s">
        <v>1610</v>
      </c>
      <c r="B195" s="112">
        <v>2</v>
      </c>
      <c r="C195" s="115">
        <v>0.0013958794644337506</v>
      </c>
      <c r="D195" s="112" t="s">
        <v>329</v>
      </c>
      <c r="E195" s="112" t="b">
        <v>0</v>
      </c>
      <c r="F195" s="112" t="b">
        <v>0</v>
      </c>
      <c r="G195" s="112" t="b">
        <v>0</v>
      </c>
    </row>
    <row r="196" spans="1:7" ht="15">
      <c r="A196" s="112" t="s">
        <v>1611</v>
      </c>
      <c r="B196" s="112">
        <v>2</v>
      </c>
      <c r="C196" s="115">
        <v>0.0011605159025385348</v>
      </c>
      <c r="D196" s="112" t="s">
        <v>329</v>
      </c>
      <c r="E196" s="112" t="b">
        <v>0</v>
      </c>
      <c r="F196" s="112" t="b">
        <v>0</v>
      </c>
      <c r="G196" s="112" t="b">
        <v>0</v>
      </c>
    </row>
    <row r="197" spans="1:7" ht="15">
      <c r="A197" s="112" t="s">
        <v>1612</v>
      </c>
      <c r="B197" s="112">
        <v>2</v>
      </c>
      <c r="C197" s="115">
        <v>0.0011605159025385348</v>
      </c>
      <c r="D197" s="112" t="s">
        <v>329</v>
      </c>
      <c r="E197" s="112" t="b">
        <v>1</v>
      </c>
      <c r="F197" s="112" t="b">
        <v>0</v>
      </c>
      <c r="G197" s="112" t="b">
        <v>0</v>
      </c>
    </row>
    <row r="198" spans="1:7" ht="15">
      <c r="A198" s="112" t="s">
        <v>1613</v>
      </c>
      <c r="B198" s="112">
        <v>2</v>
      </c>
      <c r="C198" s="115">
        <v>0.0013958794644337506</v>
      </c>
      <c r="D198" s="112" t="s">
        <v>329</v>
      </c>
      <c r="E198" s="112" t="b">
        <v>0</v>
      </c>
      <c r="F198" s="112" t="b">
        <v>0</v>
      </c>
      <c r="G198" s="112" t="b">
        <v>0</v>
      </c>
    </row>
    <row r="199" spans="1:7" ht="15">
      <c r="A199" s="112" t="s">
        <v>1614</v>
      </c>
      <c r="B199" s="112">
        <v>2</v>
      </c>
      <c r="C199" s="115">
        <v>0.0011605159025385348</v>
      </c>
      <c r="D199" s="112" t="s">
        <v>329</v>
      </c>
      <c r="E199" s="112" t="b">
        <v>0</v>
      </c>
      <c r="F199" s="112" t="b">
        <v>0</v>
      </c>
      <c r="G199" s="112" t="b">
        <v>0</v>
      </c>
    </row>
    <row r="200" spans="1:7" ht="15">
      <c r="A200" s="112" t="s">
        <v>1615</v>
      </c>
      <c r="B200" s="112">
        <v>2</v>
      </c>
      <c r="C200" s="115">
        <v>0.0011605159025385348</v>
      </c>
      <c r="D200" s="112" t="s">
        <v>329</v>
      </c>
      <c r="E200" s="112" t="b">
        <v>0</v>
      </c>
      <c r="F200" s="112" t="b">
        <v>0</v>
      </c>
      <c r="G200" s="112" t="b">
        <v>0</v>
      </c>
    </row>
    <row r="201" spans="1:7" ht="15">
      <c r="A201" s="112" t="s">
        <v>1616</v>
      </c>
      <c r="B201" s="112">
        <v>2</v>
      </c>
      <c r="C201" s="115">
        <v>0.0011605159025385348</v>
      </c>
      <c r="D201" s="112" t="s">
        <v>329</v>
      </c>
      <c r="E201" s="112" t="b">
        <v>0</v>
      </c>
      <c r="F201" s="112" t="b">
        <v>0</v>
      </c>
      <c r="G201" s="112" t="b">
        <v>0</v>
      </c>
    </row>
    <row r="202" spans="1:7" ht="15">
      <c r="A202" s="112" t="s">
        <v>1617</v>
      </c>
      <c r="B202" s="112">
        <v>2</v>
      </c>
      <c r="C202" s="115">
        <v>0.0011605159025385348</v>
      </c>
      <c r="D202" s="112" t="s">
        <v>329</v>
      </c>
      <c r="E202" s="112" t="b">
        <v>0</v>
      </c>
      <c r="F202" s="112" t="b">
        <v>0</v>
      </c>
      <c r="G202" s="112" t="b">
        <v>0</v>
      </c>
    </row>
    <row r="203" spans="1:7" ht="15">
      <c r="A203" s="112" t="s">
        <v>296</v>
      </c>
      <c r="B203" s="112">
        <v>2</v>
      </c>
      <c r="C203" s="115">
        <v>0.0013958794644337506</v>
      </c>
      <c r="D203" s="112" t="s">
        <v>329</v>
      </c>
      <c r="E203" s="112" t="b">
        <v>0</v>
      </c>
      <c r="F203" s="112" t="b">
        <v>0</v>
      </c>
      <c r="G203" s="112" t="b">
        <v>0</v>
      </c>
    </row>
    <row r="204" spans="1:7" ht="15">
      <c r="A204" s="112" t="s">
        <v>1618</v>
      </c>
      <c r="B204" s="112">
        <v>2</v>
      </c>
      <c r="C204" s="115">
        <v>0.0011605159025385348</v>
      </c>
      <c r="D204" s="112" t="s">
        <v>329</v>
      </c>
      <c r="E204" s="112" t="b">
        <v>0</v>
      </c>
      <c r="F204" s="112" t="b">
        <v>0</v>
      </c>
      <c r="G204" s="112" t="b">
        <v>0</v>
      </c>
    </row>
    <row r="205" spans="1:7" ht="15">
      <c r="A205" s="112" t="s">
        <v>1619</v>
      </c>
      <c r="B205" s="112">
        <v>2</v>
      </c>
      <c r="C205" s="115">
        <v>0.0013958794644337506</v>
      </c>
      <c r="D205" s="112" t="s">
        <v>329</v>
      </c>
      <c r="E205" s="112" t="b">
        <v>0</v>
      </c>
      <c r="F205" s="112" t="b">
        <v>0</v>
      </c>
      <c r="G205" s="112" t="b">
        <v>0</v>
      </c>
    </row>
    <row r="206" spans="1:7" ht="15">
      <c r="A206" s="112" t="s">
        <v>299</v>
      </c>
      <c r="B206" s="112">
        <v>2</v>
      </c>
      <c r="C206" s="115">
        <v>0.0011605159025385348</v>
      </c>
      <c r="D206" s="112" t="s">
        <v>329</v>
      </c>
      <c r="E206" s="112" t="b">
        <v>0</v>
      </c>
      <c r="F206" s="112" t="b">
        <v>0</v>
      </c>
      <c r="G206" s="112" t="b">
        <v>0</v>
      </c>
    </row>
    <row r="207" spans="1:7" ht="15">
      <c r="A207" s="112" t="s">
        <v>1620</v>
      </c>
      <c r="B207" s="112">
        <v>2</v>
      </c>
      <c r="C207" s="115">
        <v>0.0013958794644337506</v>
      </c>
      <c r="D207" s="112" t="s">
        <v>329</v>
      </c>
      <c r="E207" s="112" t="b">
        <v>1</v>
      </c>
      <c r="F207" s="112" t="b">
        <v>0</v>
      </c>
      <c r="G207" s="112" t="b">
        <v>0</v>
      </c>
    </row>
    <row r="208" spans="1:7" ht="15">
      <c r="A208" s="112" t="s">
        <v>1621</v>
      </c>
      <c r="B208" s="112">
        <v>2</v>
      </c>
      <c r="C208" s="115">
        <v>0.0013958794644337506</v>
      </c>
      <c r="D208" s="112" t="s">
        <v>329</v>
      </c>
      <c r="E208" s="112" t="b">
        <v>0</v>
      </c>
      <c r="F208" s="112" t="b">
        <v>0</v>
      </c>
      <c r="G208" s="112" t="b">
        <v>0</v>
      </c>
    </row>
    <row r="209" spans="1:7" ht="15">
      <c r="A209" s="112" t="s">
        <v>1622</v>
      </c>
      <c r="B209" s="112">
        <v>2</v>
      </c>
      <c r="C209" s="115">
        <v>0.0011605159025385348</v>
      </c>
      <c r="D209" s="112" t="s">
        <v>329</v>
      </c>
      <c r="E209" s="112" t="b">
        <v>0</v>
      </c>
      <c r="F209" s="112" t="b">
        <v>0</v>
      </c>
      <c r="G209" s="112" t="b">
        <v>0</v>
      </c>
    </row>
    <row r="210" spans="1:7" ht="15">
      <c r="A210" s="112" t="s">
        <v>1623</v>
      </c>
      <c r="B210" s="112">
        <v>2</v>
      </c>
      <c r="C210" s="115">
        <v>0.0011605159025385348</v>
      </c>
      <c r="D210" s="112" t="s">
        <v>329</v>
      </c>
      <c r="E210" s="112" t="b">
        <v>0</v>
      </c>
      <c r="F210" s="112" t="b">
        <v>0</v>
      </c>
      <c r="G210" s="112" t="b">
        <v>0</v>
      </c>
    </row>
    <row r="211" spans="1:7" ht="15">
      <c r="A211" s="112" t="s">
        <v>1624</v>
      </c>
      <c r="B211" s="112">
        <v>2</v>
      </c>
      <c r="C211" s="115">
        <v>0.0011605159025385348</v>
      </c>
      <c r="D211" s="112" t="s">
        <v>329</v>
      </c>
      <c r="E211" s="112" t="b">
        <v>0</v>
      </c>
      <c r="F211" s="112" t="b">
        <v>0</v>
      </c>
      <c r="G211" s="112" t="b">
        <v>0</v>
      </c>
    </row>
    <row r="212" spans="1:7" ht="15">
      <c r="A212" s="112" t="s">
        <v>1625</v>
      </c>
      <c r="B212" s="112">
        <v>2</v>
      </c>
      <c r="C212" s="115">
        <v>0.0011605159025385348</v>
      </c>
      <c r="D212" s="112" t="s">
        <v>329</v>
      </c>
      <c r="E212" s="112" t="b">
        <v>0</v>
      </c>
      <c r="F212" s="112" t="b">
        <v>0</v>
      </c>
      <c r="G212" s="112" t="b">
        <v>0</v>
      </c>
    </row>
    <row r="213" spans="1:7" ht="15">
      <c r="A213" s="112" t="s">
        <v>1626</v>
      </c>
      <c r="B213" s="112">
        <v>2</v>
      </c>
      <c r="C213" s="115">
        <v>0.0011605159025385348</v>
      </c>
      <c r="D213" s="112" t="s">
        <v>329</v>
      </c>
      <c r="E213" s="112" t="b">
        <v>0</v>
      </c>
      <c r="F213" s="112" t="b">
        <v>0</v>
      </c>
      <c r="G213" s="112" t="b">
        <v>0</v>
      </c>
    </row>
    <row r="214" spans="1:7" ht="15">
      <c r="A214" s="112" t="s">
        <v>1627</v>
      </c>
      <c r="B214" s="112">
        <v>2</v>
      </c>
      <c r="C214" s="115">
        <v>0.0011605159025385348</v>
      </c>
      <c r="D214" s="112" t="s">
        <v>329</v>
      </c>
      <c r="E214" s="112" t="b">
        <v>0</v>
      </c>
      <c r="F214" s="112" t="b">
        <v>0</v>
      </c>
      <c r="G214" s="112" t="b">
        <v>0</v>
      </c>
    </row>
    <row r="215" spans="1:7" ht="15">
      <c r="A215" s="112" t="s">
        <v>1628</v>
      </c>
      <c r="B215" s="112">
        <v>2</v>
      </c>
      <c r="C215" s="115">
        <v>0.0013958794644337506</v>
      </c>
      <c r="D215" s="112" t="s">
        <v>329</v>
      </c>
      <c r="E215" s="112" t="b">
        <v>0</v>
      </c>
      <c r="F215" s="112" t="b">
        <v>0</v>
      </c>
      <c r="G215" s="112" t="b">
        <v>0</v>
      </c>
    </row>
    <row r="216" spans="1:7" ht="15">
      <c r="A216" s="112" t="s">
        <v>1629</v>
      </c>
      <c r="B216" s="112">
        <v>2</v>
      </c>
      <c r="C216" s="115">
        <v>0.0013958794644337506</v>
      </c>
      <c r="D216" s="112" t="s">
        <v>329</v>
      </c>
      <c r="E216" s="112" t="b">
        <v>0</v>
      </c>
      <c r="F216" s="112" t="b">
        <v>0</v>
      </c>
      <c r="G216" s="112" t="b">
        <v>0</v>
      </c>
    </row>
    <row r="217" spans="1:7" ht="15">
      <c r="A217" s="112" t="s">
        <v>1630</v>
      </c>
      <c r="B217" s="112">
        <v>2</v>
      </c>
      <c r="C217" s="115">
        <v>0.0013958794644337506</v>
      </c>
      <c r="D217" s="112" t="s">
        <v>329</v>
      </c>
      <c r="E217" s="112" t="b">
        <v>0</v>
      </c>
      <c r="F217" s="112" t="b">
        <v>0</v>
      </c>
      <c r="G217" s="112" t="b">
        <v>0</v>
      </c>
    </row>
    <row r="218" spans="1:7" ht="15">
      <c r="A218" s="112" t="s">
        <v>1631</v>
      </c>
      <c r="B218" s="112">
        <v>2</v>
      </c>
      <c r="C218" s="115">
        <v>0.0013958794644337506</v>
      </c>
      <c r="D218" s="112" t="s">
        <v>329</v>
      </c>
      <c r="E218" s="112" t="b">
        <v>0</v>
      </c>
      <c r="F218" s="112" t="b">
        <v>0</v>
      </c>
      <c r="G218" s="112" t="b">
        <v>0</v>
      </c>
    </row>
    <row r="219" spans="1:7" ht="15">
      <c r="A219" s="112" t="s">
        <v>1632</v>
      </c>
      <c r="B219" s="112">
        <v>2</v>
      </c>
      <c r="C219" s="115">
        <v>0.0013958794644337506</v>
      </c>
      <c r="D219" s="112" t="s">
        <v>329</v>
      </c>
      <c r="E219" s="112" t="b">
        <v>0</v>
      </c>
      <c r="F219" s="112" t="b">
        <v>0</v>
      </c>
      <c r="G219" s="112" t="b">
        <v>0</v>
      </c>
    </row>
    <row r="220" spans="1:7" ht="15">
      <c r="A220" s="112" t="s">
        <v>1633</v>
      </c>
      <c r="B220" s="112">
        <v>2</v>
      </c>
      <c r="C220" s="115">
        <v>0.0011605159025385348</v>
      </c>
      <c r="D220" s="112" t="s">
        <v>329</v>
      </c>
      <c r="E220" s="112" t="b">
        <v>0</v>
      </c>
      <c r="F220" s="112" t="b">
        <v>0</v>
      </c>
      <c r="G220" s="112" t="b">
        <v>0</v>
      </c>
    </row>
    <row r="221" spans="1:7" ht="15">
      <c r="A221" s="112" t="s">
        <v>1634</v>
      </c>
      <c r="B221" s="112">
        <v>2</v>
      </c>
      <c r="C221" s="115">
        <v>0.0011605159025385348</v>
      </c>
      <c r="D221" s="112" t="s">
        <v>329</v>
      </c>
      <c r="E221" s="112" t="b">
        <v>0</v>
      </c>
      <c r="F221" s="112" t="b">
        <v>0</v>
      </c>
      <c r="G221" s="112" t="b">
        <v>0</v>
      </c>
    </row>
    <row r="222" spans="1:7" ht="15">
      <c r="A222" s="112" t="s">
        <v>1635</v>
      </c>
      <c r="B222" s="112">
        <v>2</v>
      </c>
      <c r="C222" s="115">
        <v>0.0011605159025385348</v>
      </c>
      <c r="D222" s="112" t="s">
        <v>329</v>
      </c>
      <c r="E222" s="112" t="b">
        <v>0</v>
      </c>
      <c r="F222" s="112" t="b">
        <v>0</v>
      </c>
      <c r="G222" s="112" t="b">
        <v>0</v>
      </c>
    </row>
    <row r="223" spans="1:7" ht="15">
      <c r="A223" s="112" t="s">
        <v>1636</v>
      </c>
      <c r="B223" s="112">
        <v>2</v>
      </c>
      <c r="C223" s="115">
        <v>0.0013958794644337506</v>
      </c>
      <c r="D223" s="112" t="s">
        <v>329</v>
      </c>
      <c r="E223" s="112" t="b">
        <v>0</v>
      </c>
      <c r="F223" s="112" t="b">
        <v>0</v>
      </c>
      <c r="G223" s="112" t="b">
        <v>0</v>
      </c>
    </row>
    <row r="224" spans="1:7" ht="15">
      <c r="A224" s="112" t="s">
        <v>1637</v>
      </c>
      <c r="B224" s="112">
        <v>2</v>
      </c>
      <c r="C224" s="115">
        <v>0.0013958794644337506</v>
      </c>
      <c r="D224" s="112" t="s">
        <v>329</v>
      </c>
      <c r="E224" s="112" t="b">
        <v>0</v>
      </c>
      <c r="F224" s="112" t="b">
        <v>0</v>
      </c>
      <c r="G224" s="112" t="b">
        <v>0</v>
      </c>
    </row>
    <row r="225" spans="1:7" ht="15">
      <c r="A225" s="112" t="s">
        <v>1638</v>
      </c>
      <c r="B225" s="112">
        <v>2</v>
      </c>
      <c r="C225" s="115">
        <v>0.0011605159025385348</v>
      </c>
      <c r="D225" s="112" t="s">
        <v>329</v>
      </c>
      <c r="E225" s="112" t="b">
        <v>0</v>
      </c>
      <c r="F225" s="112" t="b">
        <v>0</v>
      </c>
      <c r="G225" s="112" t="b">
        <v>0</v>
      </c>
    </row>
    <row r="226" spans="1:7" ht="15">
      <c r="A226" s="112" t="s">
        <v>1639</v>
      </c>
      <c r="B226" s="112">
        <v>2</v>
      </c>
      <c r="C226" s="115">
        <v>0.0011605159025385348</v>
      </c>
      <c r="D226" s="112" t="s">
        <v>329</v>
      </c>
      <c r="E226" s="112" t="b">
        <v>0</v>
      </c>
      <c r="F226" s="112" t="b">
        <v>0</v>
      </c>
      <c r="G226" s="112" t="b">
        <v>0</v>
      </c>
    </row>
    <row r="227" spans="1:7" ht="15">
      <c r="A227" s="112" t="s">
        <v>1640</v>
      </c>
      <c r="B227" s="112">
        <v>2</v>
      </c>
      <c r="C227" s="115">
        <v>0.0013958794644337506</v>
      </c>
      <c r="D227" s="112" t="s">
        <v>329</v>
      </c>
      <c r="E227" s="112" t="b">
        <v>0</v>
      </c>
      <c r="F227" s="112" t="b">
        <v>0</v>
      </c>
      <c r="G227" s="112" t="b">
        <v>0</v>
      </c>
    </row>
    <row r="228" spans="1:7" ht="15">
      <c r="A228" s="112" t="s">
        <v>1641</v>
      </c>
      <c r="B228" s="112">
        <v>2</v>
      </c>
      <c r="C228" s="115">
        <v>0.0011605159025385348</v>
      </c>
      <c r="D228" s="112" t="s">
        <v>329</v>
      </c>
      <c r="E228" s="112" t="b">
        <v>0</v>
      </c>
      <c r="F228" s="112" t="b">
        <v>0</v>
      </c>
      <c r="G228" s="112" t="b">
        <v>0</v>
      </c>
    </row>
    <row r="229" spans="1:7" ht="15">
      <c r="A229" s="112" t="s">
        <v>1642</v>
      </c>
      <c r="B229" s="112">
        <v>2</v>
      </c>
      <c r="C229" s="115">
        <v>0.0013958794644337506</v>
      </c>
      <c r="D229" s="112" t="s">
        <v>329</v>
      </c>
      <c r="E229" s="112" t="b">
        <v>0</v>
      </c>
      <c r="F229" s="112" t="b">
        <v>0</v>
      </c>
      <c r="G229" s="112" t="b">
        <v>0</v>
      </c>
    </row>
    <row r="230" spans="1:7" ht="15">
      <c r="A230" s="112" t="s">
        <v>1643</v>
      </c>
      <c r="B230" s="112">
        <v>2</v>
      </c>
      <c r="C230" s="115">
        <v>0.0013958794644337506</v>
      </c>
      <c r="D230" s="112" t="s">
        <v>329</v>
      </c>
      <c r="E230" s="112" t="b">
        <v>0</v>
      </c>
      <c r="F230" s="112" t="b">
        <v>0</v>
      </c>
      <c r="G230" s="112" t="b">
        <v>0</v>
      </c>
    </row>
    <row r="231" spans="1:7" ht="15">
      <c r="A231" s="112" t="s">
        <v>1644</v>
      </c>
      <c r="B231" s="112">
        <v>2</v>
      </c>
      <c r="C231" s="115">
        <v>0.0013958794644337506</v>
      </c>
      <c r="D231" s="112" t="s">
        <v>329</v>
      </c>
      <c r="E231" s="112" t="b">
        <v>0</v>
      </c>
      <c r="F231" s="112" t="b">
        <v>0</v>
      </c>
      <c r="G231" s="112" t="b">
        <v>0</v>
      </c>
    </row>
    <row r="232" spans="1:7" ht="15">
      <c r="A232" s="112" t="s">
        <v>315</v>
      </c>
      <c r="B232" s="112">
        <v>2</v>
      </c>
      <c r="C232" s="115">
        <v>0.0011605159025385348</v>
      </c>
      <c r="D232" s="112" t="s">
        <v>329</v>
      </c>
      <c r="E232" s="112" t="b">
        <v>0</v>
      </c>
      <c r="F232" s="112" t="b">
        <v>0</v>
      </c>
      <c r="G232" s="112" t="b">
        <v>0</v>
      </c>
    </row>
    <row r="233" spans="1:7" ht="15">
      <c r="A233" s="112" t="s">
        <v>1645</v>
      </c>
      <c r="B233" s="112">
        <v>2</v>
      </c>
      <c r="C233" s="115">
        <v>0.0011605159025385348</v>
      </c>
      <c r="D233" s="112" t="s">
        <v>329</v>
      </c>
      <c r="E233" s="112" t="b">
        <v>1</v>
      </c>
      <c r="F233" s="112" t="b">
        <v>0</v>
      </c>
      <c r="G233" s="112" t="b">
        <v>0</v>
      </c>
    </row>
    <row r="234" spans="1:7" ht="15">
      <c r="A234" s="112" t="s">
        <v>1646</v>
      </c>
      <c r="B234" s="112">
        <v>2</v>
      </c>
      <c r="C234" s="115">
        <v>0.0011605159025385348</v>
      </c>
      <c r="D234" s="112" t="s">
        <v>329</v>
      </c>
      <c r="E234" s="112" t="b">
        <v>0</v>
      </c>
      <c r="F234" s="112" t="b">
        <v>0</v>
      </c>
      <c r="G234" s="112" t="b">
        <v>0</v>
      </c>
    </row>
    <row r="235" spans="1:7" ht="15">
      <c r="A235" s="112" t="s">
        <v>317</v>
      </c>
      <c r="B235" s="112">
        <v>2</v>
      </c>
      <c r="C235" s="115">
        <v>0.0011605159025385348</v>
      </c>
      <c r="D235" s="112" t="s">
        <v>329</v>
      </c>
      <c r="E235" s="112" t="b">
        <v>0</v>
      </c>
      <c r="F235" s="112" t="b">
        <v>0</v>
      </c>
      <c r="G235" s="112" t="b">
        <v>0</v>
      </c>
    </row>
    <row r="236" spans="1:7" ht="15">
      <c r="A236" s="112" t="s">
        <v>1647</v>
      </c>
      <c r="B236" s="112">
        <v>2</v>
      </c>
      <c r="C236" s="115">
        <v>0.0011605159025385348</v>
      </c>
      <c r="D236" s="112" t="s">
        <v>329</v>
      </c>
      <c r="E236" s="112" t="b">
        <v>0</v>
      </c>
      <c r="F236" s="112" t="b">
        <v>0</v>
      </c>
      <c r="G236" s="112" t="b">
        <v>0</v>
      </c>
    </row>
    <row r="237" spans="1:7" ht="15">
      <c r="A237" s="112" t="s">
        <v>1648</v>
      </c>
      <c r="B237" s="112">
        <v>2</v>
      </c>
      <c r="C237" s="115">
        <v>0.0011605159025385348</v>
      </c>
      <c r="D237" s="112" t="s">
        <v>329</v>
      </c>
      <c r="E237" s="112" t="b">
        <v>0</v>
      </c>
      <c r="F237" s="112" t="b">
        <v>0</v>
      </c>
      <c r="G237" s="112" t="b">
        <v>0</v>
      </c>
    </row>
    <row r="238" spans="1:7" ht="15">
      <c r="A238" s="112" t="s">
        <v>1649</v>
      </c>
      <c r="B238" s="112">
        <v>2</v>
      </c>
      <c r="C238" s="115">
        <v>0.0011605159025385348</v>
      </c>
      <c r="D238" s="112" t="s">
        <v>329</v>
      </c>
      <c r="E238" s="112" t="b">
        <v>0</v>
      </c>
      <c r="F238" s="112" t="b">
        <v>0</v>
      </c>
      <c r="G238" s="112" t="b">
        <v>0</v>
      </c>
    </row>
    <row r="239" spans="1:7" ht="15">
      <c r="A239" s="112" t="s">
        <v>1650</v>
      </c>
      <c r="B239" s="112">
        <v>2</v>
      </c>
      <c r="C239" s="115">
        <v>0.0013958794644337506</v>
      </c>
      <c r="D239" s="112" t="s">
        <v>329</v>
      </c>
      <c r="E239" s="112" t="b">
        <v>0</v>
      </c>
      <c r="F239" s="112" t="b">
        <v>0</v>
      </c>
      <c r="G239" s="112" t="b">
        <v>0</v>
      </c>
    </row>
    <row r="240" spans="1:7" ht="15">
      <c r="A240" s="112" t="s">
        <v>1651</v>
      </c>
      <c r="B240" s="112">
        <v>2</v>
      </c>
      <c r="C240" s="115">
        <v>0.0013958794644337506</v>
      </c>
      <c r="D240" s="112" t="s">
        <v>329</v>
      </c>
      <c r="E240" s="112" t="b">
        <v>0</v>
      </c>
      <c r="F240" s="112" t="b">
        <v>0</v>
      </c>
      <c r="G240" s="112" t="b">
        <v>0</v>
      </c>
    </row>
    <row r="241" spans="1:7" ht="15">
      <c r="A241" s="112" t="s">
        <v>1652</v>
      </c>
      <c r="B241" s="112">
        <v>2</v>
      </c>
      <c r="C241" s="115">
        <v>0.0013958794644337506</v>
      </c>
      <c r="D241" s="112" t="s">
        <v>329</v>
      </c>
      <c r="E241" s="112" t="b">
        <v>0</v>
      </c>
      <c r="F241" s="112" t="b">
        <v>0</v>
      </c>
      <c r="G241" s="112" t="b">
        <v>0</v>
      </c>
    </row>
    <row r="242" spans="1:7" ht="15">
      <c r="A242" s="112" t="s">
        <v>1653</v>
      </c>
      <c r="B242" s="112">
        <v>2</v>
      </c>
      <c r="C242" s="115">
        <v>0.0013958794644337506</v>
      </c>
      <c r="D242" s="112" t="s">
        <v>329</v>
      </c>
      <c r="E242" s="112" t="b">
        <v>0</v>
      </c>
      <c r="F242" s="112" t="b">
        <v>0</v>
      </c>
      <c r="G242" s="112" t="b">
        <v>0</v>
      </c>
    </row>
    <row r="243" spans="1:7" ht="15">
      <c r="A243" s="112" t="s">
        <v>1654</v>
      </c>
      <c r="B243" s="112">
        <v>2</v>
      </c>
      <c r="C243" s="115">
        <v>0.0013958794644337506</v>
      </c>
      <c r="D243" s="112" t="s">
        <v>329</v>
      </c>
      <c r="E243" s="112" t="b">
        <v>0</v>
      </c>
      <c r="F243" s="112" t="b">
        <v>0</v>
      </c>
      <c r="G243" s="112" t="b">
        <v>0</v>
      </c>
    </row>
    <row r="244" spans="1:7" ht="15">
      <c r="A244" s="112" t="s">
        <v>1655</v>
      </c>
      <c r="B244" s="112">
        <v>2</v>
      </c>
      <c r="C244" s="115">
        <v>0.0011605159025385348</v>
      </c>
      <c r="D244" s="112" t="s">
        <v>329</v>
      </c>
      <c r="E244" s="112" t="b">
        <v>0</v>
      </c>
      <c r="F244" s="112" t="b">
        <v>0</v>
      </c>
      <c r="G244" s="112" t="b">
        <v>0</v>
      </c>
    </row>
    <row r="245" spans="1:7" ht="15">
      <c r="A245" s="112" t="s">
        <v>1656</v>
      </c>
      <c r="B245" s="112">
        <v>2</v>
      </c>
      <c r="C245" s="115">
        <v>0.0013958794644337506</v>
      </c>
      <c r="D245" s="112" t="s">
        <v>329</v>
      </c>
      <c r="E245" s="112" t="b">
        <v>1</v>
      </c>
      <c r="F245" s="112" t="b">
        <v>0</v>
      </c>
      <c r="G245" s="112" t="b">
        <v>0</v>
      </c>
    </row>
    <row r="246" spans="1:7" ht="15">
      <c r="A246" s="112" t="s">
        <v>1657</v>
      </c>
      <c r="B246" s="112">
        <v>2</v>
      </c>
      <c r="C246" s="115">
        <v>0.0011605159025385348</v>
      </c>
      <c r="D246" s="112" t="s">
        <v>329</v>
      </c>
      <c r="E246" s="112" t="b">
        <v>0</v>
      </c>
      <c r="F246" s="112" t="b">
        <v>0</v>
      </c>
      <c r="G246" s="112" t="b">
        <v>0</v>
      </c>
    </row>
    <row r="247" spans="1:7" ht="15">
      <c r="A247" s="112" t="s">
        <v>1658</v>
      </c>
      <c r="B247" s="112">
        <v>2</v>
      </c>
      <c r="C247" s="115">
        <v>0.0011605159025385348</v>
      </c>
      <c r="D247" s="112" t="s">
        <v>329</v>
      </c>
      <c r="E247" s="112" t="b">
        <v>0</v>
      </c>
      <c r="F247" s="112" t="b">
        <v>0</v>
      </c>
      <c r="G247" s="112" t="b">
        <v>0</v>
      </c>
    </row>
    <row r="248" spans="1:7" ht="15">
      <c r="A248" s="112" t="s">
        <v>310</v>
      </c>
      <c r="B248" s="112">
        <v>2</v>
      </c>
      <c r="C248" s="115">
        <v>0.0011605159025385348</v>
      </c>
      <c r="D248" s="112" t="s">
        <v>329</v>
      </c>
      <c r="E248" s="112" t="b">
        <v>0</v>
      </c>
      <c r="F248" s="112" t="b">
        <v>0</v>
      </c>
      <c r="G248" s="112" t="b">
        <v>0</v>
      </c>
    </row>
    <row r="249" spans="1:7" ht="15">
      <c r="A249" s="112" t="s">
        <v>1659</v>
      </c>
      <c r="B249" s="112">
        <v>2</v>
      </c>
      <c r="C249" s="115">
        <v>0.0011605159025385348</v>
      </c>
      <c r="D249" s="112" t="s">
        <v>329</v>
      </c>
      <c r="E249" s="112" t="b">
        <v>0</v>
      </c>
      <c r="F249" s="112" t="b">
        <v>0</v>
      </c>
      <c r="G249" s="112" t="b">
        <v>0</v>
      </c>
    </row>
    <row r="250" spans="1:7" ht="15">
      <c r="A250" s="112" t="s">
        <v>1660</v>
      </c>
      <c r="B250" s="112">
        <v>2</v>
      </c>
      <c r="C250" s="115">
        <v>0.0011605159025385348</v>
      </c>
      <c r="D250" s="112" t="s">
        <v>329</v>
      </c>
      <c r="E250" s="112" t="b">
        <v>0</v>
      </c>
      <c r="F250" s="112" t="b">
        <v>0</v>
      </c>
      <c r="G250" s="112" t="b">
        <v>0</v>
      </c>
    </row>
    <row r="251" spans="1:7" ht="15">
      <c r="A251" s="112" t="s">
        <v>1661</v>
      </c>
      <c r="B251" s="112">
        <v>2</v>
      </c>
      <c r="C251" s="115">
        <v>0.0011605159025385348</v>
      </c>
      <c r="D251" s="112" t="s">
        <v>329</v>
      </c>
      <c r="E251" s="112" t="b">
        <v>0</v>
      </c>
      <c r="F251" s="112" t="b">
        <v>0</v>
      </c>
      <c r="G251" s="112" t="b">
        <v>0</v>
      </c>
    </row>
    <row r="252" spans="1:7" ht="15">
      <c r="A252" s="112" t="s">
        <v>1662</v>
      </c>
      <c r="B252" s="112">
        <v>2</v>
      </c>
      <c r="C252" s="115">
        <v>0.0013958794644337506</v>
      </c>
      <c r="D252" s="112" t="s">
        <v>329</v>
      </c>
      <c r="E252" s="112" t="b">
        <v>0</v>
      </c>
      <c r="F252" s="112" t="b">
        <v>0</v>
      </c>
      <c r="G252" s="112" t="b">
        <v>0</v>
      </c>
    </row>
    <row r="253" spans="1:7" ht="15">
      <c r="A253" s="112" t="s">
        <v>1663</v>
      </c>
      <c r="B253" s="112">
        <v>2</v>
      </c>
      <c r="C253" s="115">
        <v>0.0013958794644337506</v>
      </c>
      <c r="D253" s="112" t="s">
        <v>329</v>
      </c>
      <c r="E253" s="112" t="b">
        <v>0</v>
      </c>
      <c r="F253" s="112" t="b">
        <v>0</v>
      </c>
      <c r="G253" s="112" t="b">
        <v>0</v>
      </c>
    </row>
    <row r="254" spans="1:7" ht="15">
      <c r="A254" s="112" t="s">
        <v>1664</v>
      </c>
      <c r="B254" s="112">
        <v>2</v>
      </c>
      <c r="C254" s="115">
        <v>0.0013958794644337506</v>
      </c>
      <c r="D254" s="112" t="s">
        <v>329</v>
      </c>
      <c r="E254" s="112" t="b">
        <v>0</v>
      </c>
      <c r="F254" s="112" t="b">
        <v>0</v>
      </c>
      <c r="G254" s="112" t="b">
        <v>0</v>
      </c>
    </row>
    <row r="255" spans="1:7" ht="15">
      <c r="A255" s="112" t="s">
        <v>1665</v>
      </c>
      <c r="B255" s="112">
        <v>2</v>
      </c>
      <c r="C255" s="115">
        <v>0.0011605159025385348</v>
      </c>
      <c r="D255" s="112" t="s">
        <v>329</v>
      </c>
      <c r="E255" s="112" t="b">
        <v>0</v>
      </c>
      <c r="F255" s="112" t="b">
        <v>0</v>
      </c>
      <c r="G255" s="112" t="b">
        <v>0</v>
      </c>
    </row>
    <row r="256" spans="1:7" ht="15">
      <c r="A256" s="112" t="s">
        <v>1666</v>
      </c>
      <c r="B256" s="112">
        <v>2</v>
      </c>
      <c r="C256" s="115">
        <v>0.0013958794644337506</v>
      </c>
      <c r="D256" s="112" t="s">
        <v>329</v>
      </c>
      <c r="E256" s="112" t="b">
        <v>0</v>
      </c>
      <c r="F256" s="112" t="b">
        <v>0</v>
      </c>
      <c r="G256" s="112" t="b">
        <v>0</v>
      </c>
    </row>
    <row r="257" spans="1:7" ht="15">
      <c r="A257" s="112" t="s">
        <v>1667</v>
      </c>
      <c r="B257" s="112">
        <v>2</v>
      </c>
      <c r="C257" s="115">
        <v>0.0011605159025385348</v>
      </c>
      <c r="D257" s="112" t="s">
        <v>329</v>
      </c>
      <c r="E257" s="112" t="b">
        <v>0</v>
      </c>
      <c r="F257" s="112" t="b">
        <v>0</v>
      </c>
      <c r="G257" s="112" t="b">
        <v>0</v>
      </c>
    </row>
    <row r="258" spans="1:7" ht="15">
      <c r="A258" s="112" t="s">
        <v>1668</v>
      </c>
      <c r="B258" s="112">
        <v>2</v>
      </c>
      <c r="C258" s="115">
        <v>0.0013958794644337506</v>
      </c>
      <c r="D258" s="112" t="s">
        <v>329</v>
      </c>
      <c r="E258" s="112" t="b">
        <v>0</v>
      </c>
      <c r="F258" s="112" t="b">
        <v>0</v>
      </c>
      <c r="G258" s="112" t="b">
        <v>0</v>
      </c>
    </row>
    <row r="259" spans="1:7" ht="15">
      <c r="A259" s="112" t="s">
        <v>1669</v>
      </c>
      <c r="B259" s="112">
        <v>2</v>
      </c>
      <c r="C259" s="115">
        <v>0.0011605159025385348</v>
      </c>
      <c r="D259" s="112" t="s">
        <v>329</v>
      </c>
      <c r="E259" s="112" t="b">
        <v>0</v>
      </c>
      <c r="F259" s="112" t="b">
        <v>0</v>
      </c>
      <c r="G259" s="112" t="b">
        <v>0</v>
      </c>
    </row>
    <row r="260" spans="1:7" ht="15">
      <c r="A260" s="112" t="s">
        <v>1670</v>
      </c>
      <c r="B260" s="112">
        <v>2</v>
      </c>
      <c r="C260" s="115">
        <v>0.0013958794644337506</v>
      </c>
      <c r="D260" s="112" t="s">
        <v>329</v>
      </c>
      <c r="E260" s="112" t="b">
        <v>0</v>
      </c>
      <c r="F260" s="112" t="b">
        <v>0</v>
      </c>
      <c r="G260" s="112" t="b">
        <v>0</v>
      </c>
    </row>
    <row r="261" spans="1:7" ht="15">
      <c r="A261" s="112" t="s">
        <v>1671</v>
      </c>
      <c r="B261" s="112">
        <v>2</v>
      </c>
      <c r="C261" s="115">
        <v>0.0011605159025385348</v>
      </c>
      <c r="D261" s="112" t="s">
        <v>329</v>
      </c>
      <c r="E261" s="112" t="b">
        <v>0</v>
      </c>
      <c r="F261" s="112" t="b">
        <v>0</v>
      </c>
      <c r="G261" s="112" t="b">
        <v>0</v>
      </c>
    </row>
    <row r="262" spans="1:7" ht="15">
      <c r="A262" s="112" t="s">
        <v>1672</v>
      </c>
      <c r="B262" s="112">
        <v>2</v>
      </c>
      <c r="C262" s="115">
        <v>0.0011605159025385348</v>
      </c>
      <c r="D262" s="112" t="s">
        <v>329</v>
      </c>
      <c r="E262" s="112" t="b">
        <v>0</v>
      </c>
      <c r="F262" s="112" t="b">
        <v>0</v>
      </c>
      <c r="G262" s="112" t="b">
        <v>0</v>
      </c>
    </row>
    <row r="263" spans="1:7" ht="15">
      <c r="A263" s="112" t="s">
        <v>1673</v>
      </c>
      <c r="B263" s="112">
        <v>2</v>
      </c>
      <c r="C263" s="115">
        <v>0.0011605159025385348</v>
      </c>
      <c r="D263" s="112" t="s">
        <v>329</v>
      </c>
      <c r="E263" s="112" t="b">
        <v>0</v>
      </c>
      <c r="F263" s="112" t="b">
        <v>0</v>
      </c>
      <c r="G263" s="112" t="b">
        <v>0</v>
      </c>
    </row>
    <row r="264" spans="1:7" ht="15">
      <c r="A264" s="112" t="s">
        <v>1674</v>
      </c>
      <c r="B264" s="112">
        <v>2</v>
      </c>
      <c r="C264" s="115">
        <v>0.0013958794644337506</v>
      </c>
      <c r="D264" s="112" t="s">
        <v>329</v>
      </c>
      <c r="E264" s="112" t="b">
        <v>0</v>
      </c>
      <c r="F264" s="112" t="b">
        <v>0</v>
      </c>
      <c r="G264" s="112" t="b">
        <v>0</v>
      </c>
    </row>
    <row r="265" spans="1:7" ht="15">
      <c r="A265" s="112" t="s">
        <v>1675</v>
      </c>
      <c r="B265" s="112">
        <v>2</v>
      </c>
      <c r="C265" s="115">
        <v>0.0013958794644337506</v>
      </c>
      <c r="D265" s="112" t="s">
        <v>329</v>
      </c>
      <c r="E265" s="112" t="b">
        <v>0</v>
      </c>
      <c r="F265" s="112" t="b">
        <v>0</v>
      </c>
      <c r="G265" s="112" t="b">
        <v>0</v>
      </c>
    </row>
    <row r="266" spans="1:7" ht="15">
      <c r="A266" s="112" t="s">
        <v>1676</v>
      </c>
      <c r="B266" s="112">
        <v>2</v>
      </c>
      <c r="C266" s="115">
        <v>0.0011605159025385348</v>
      </c>
      <c r="D266" s="112" t="s">
        <v>329</v>
      </c>
      <c r="E266" s="112" t="b">
        <v>0</v>
      </c>
      <c r="F266" s="112" t="b">
        <v>0</v>
      </c>
      <c r="G266" s="112" t="b">
        <v>0</v>
      </c>
    </row>
    <row r="267" spans="1:7" ht="15">
      <c r="A267" s="112" t="s">
        <v>1677</v>
      </c>
      <c r="B267" s="112">
        <v>2</v>
      </c>
      <c r="C267" s="115">
        <v>0.0011605159025385348</v>
      </c>
      <c r="D267" s="112" t="s">
        <v>329</v>
      </c>
      <c r="E267" s="112" t="b">
        <v>0</v>
      </c>
      <c r="F267" s="112" t="b">
        <v>0</v>
      </c>
      <c r="G267" s="112" t="b">
        <v>0</v>
      </c>
    </row>
    <row r="268" spans="1:7" ht="15">
      <c r="A268" s="112" t="s">
        <v>1678</v>
      </c>
      <c r="B268" s="112">
        <v>2</v>
      </c>
      <c r="C268" s="115">
        <v>0.0011605159025385348</v>
      </c>
      <c r="D268" s="112" t="s">
        <v>329</v>
      </c>
      <c r="E268" s="112" t="b">
        <v>1</v>
      </c>
      <c r="F268" s="112" t="b">
        <v>0</v>
      </c>
      <c r="G268" s="112" t="b">
        <v>0</v>
      </c>
    </row>
    <row r="269" spans="1:7" ht="15">
      <c r="A269" s="112" t="s">
        <v>1679</v>
      </c>
      <c r="B269" s="112">
        <v>2</v>
      </c>
      <c r="C269" s="115">
        <v>0.0011605159025385348</v>
      </c>
      <c r="D269" s="112" t="s">
        <v>329</v>
      </c>
      <c r="E269" s="112" t="b">
        <v>0</v>
      </c>
      <c r="F269" s="112" t="b">
        <v>0</v>
      </c>
      <c r="G269" s="112" t="b">
        <v>0</v>
      </c>
    </row>
    <row r="270" spans="1:7" ht="15">
      <c r="A270" s="112" t="s">
        <v>1680</v>
      </c>
      <c r="B270" s="112">
        <v>2</v>
      </c>
      <c r="C270" s="115">
        <v>0.0011605159025385348</v>
      </c>
      <c r="D270" s="112" t="s">
        <v>329</v>
      </c>
      <c r="E270" s="112" t="b">
        <v>0</v>
      </c>
      <c r="F270" s="112" t="b">
        <v>0</v>
      </c>
      <c r="G270" s="112" t="b">
        <v>0</v>
      </c>
    </row>
    <row r="271" spans="1:7" ht="15">
      <c r="A271" s="112" t="s">
        <v>1681</v>
      </c>
      <c r="B271" s="112">
        <v>2</v>
      </c>
      <c r="C271" s="115">
        <v>0.0011605159025385348</v>
      </c>
      <c r="D271" s="112" t="s">
        <v>329</v>
      </c>
      <c r="E271" s="112" t="b">
        <v>0</v>
      </c>
      <c r="F271" s="112" t="b">
        <v>0</v>
      </c>
      <c r="G271" s="112" t="b">
        <v>0</v>
      </c>
    </row>
    <row r="272" spans="1:7" ht="15">
      <c r="A272" s="112" t="s">
        <v>1682</v>
      </c>
      <c r="B272" s="112">
        <v>2</v>
      </c>
      <c r="C272" s="115">
        <v>0.0011605159025385348</v>
      </c>
      <c r="D272" s="112" t="s">
        <v>329</v>
      </c>
      <c r="E272" s="112" t="b">
        <v>0</v>
      </c>
      <c r="F272" s="112" t="b">
        <v>0</v>
      </c>
      <c r="G272" s="112" t="b">
        <v>0</v>
      </c>
    </row>
    <row r="273" spans="1:7" ht="15">
      <c r="A273" s="112" t="s">
        <v>1683</v>
      </c>
      <c r="B273" s="112">
        <v>2</v>
      </c>
      <c r="C273" s="115">
        <v>0.0011605159025385348</v>
      </c>
      <c r="D273" s="112" t="s">
        <v>329</v>
      </c>
      <c r="E273" s="112" t="b">
        <v>0</v>
      </c>
      <c r="F273" s="112" t="b">
        <v>0</v>
      </c>
      <c r="G273" s="112" t="b">
        <v>0</v>
      </c>
    </row>
    <row r="274" spans="1:7" ht="15">
      <c r="A274" s="112" t="s">
        <v>1684</v>
      </c>
      <c r="B274" s="112">
        <v>2</v>
      </c>
      <c r="C274" s="115">
        <v>0.0011605159025385348</v>
      </c>
      <c r="D274" s="112" t="s">
        <v>329</v>
      </c>
      <c r="E274" s="112" t="b">
        <v>0</v>
      </c>
      <c r="F274" s="112" t="b">
        <v>0</v>
      </c>
      <c r="G274" s="112" t="b">
        <v>0</v>
      </c>
    </row>
    <row r="275" spans="1:7" ht="15">
      <c r="A275" s="112" t="s">
        <v>1685</v>
      </c>
      <c r="B275" s="112">
        <v>2</v>
      </c>
      <c r="C275" s="115">
        <v>0.0011605159025385348</v>
      </c>
      <c r="D275" s="112" t="s">
        <v>329</v>
      </c>
      <c r="E275" s="112" t="b">
        <v>0</v>
      </c>
      <c r="F275" s="112" t="b">
        <v>0</v>
      </c>
      <c r="G275" s="112" t="b">
        <v>0</v>
      </c>
    </row>
    <row r="276" spans="1:7" ht="15">
      <c r="A276" s="112" t="s">
        <v>1686</v>
      </c>
      <c r="B276" s="112">
        <v>2</v>
      </c>
      <c r="C276" s="115">
        <v>0.0011605159025385348</v>
      </c>
      <c r="D276" s="112" t="s">
        <v>329</v>
      </c>
      <c r="E276" s="112" t="b">
        <v>0</v>
      </c>
      <c r="F276" s="112" t="b">
        <v>0</v>
      </c>
      <c r="G276" s="112" t="b">
        <v>0</v>
      </c>
    </row>
    <row r="277" spans="1:7" ht="15">
      <c r="A277" s="112" t="s">
        <v>1687</v>
      </c>
      <c r="B277" s="112">
        <v>2</v>
      </c>
      <c r="C277" s="115">
        <v>0.0011605159025385348</v>
      </c>
      <c r="D277" s="112" t="s">
        <v>329</v>
      </c>
      <c r="E277" s="112" t="b">
        <v>0</v>
      </c>
      <c r="F277" s="112" t="b">
        <v>0</v>
      </c>
      <c r="G277" s="112" t="b">
        <v>0</v>
      </c>
    </row>
    <row r="278" spans="1:7" ht="15">
      <c r="A278" s="112" t="s">
        <v>322</v>
      </c>
      <c r="B278" s="112">
        <v>2</v>
      </c>
      <c r="C278" s="115">
        <v>0.0011605159025385348</v>
      </c>
      <c r="D278" s="112" t="s">
        <v>329</v>
      </c>
      <c r="E278" s="112" t="b">
        <v>1</v>
      </c>
      <c r="F278" s="112" t="b">
        <v>0</v>
      </c>
      <c r="G278" s="112" t="b">
        <v>0</v>
      </c>
    </row>
    <row r="279" spans="1:7" ht="15">
      <c r="A279" s="112" t="s">
        <v>1688</v>
      </c>
      <c r="B279" s="112">
        <v>2</v>
      </c>
      <c r="C279" s="115">
        <v>0.0011605159025385348</v>
      </c>
      <c r="D279" s="112" t="s">
        <v>329</v>
      </c>
      <c r="E279" s="112" t="b">
        <v>0</v>
      </c>
      <c r="F279" s="112" t="b">
        <v>0</v>
      </c>
      <c r="G279" s="112" t="b">
        <v>0</v>
      </c>
    </row>
    <row r="280" spans="1:7" ht="15">
      <c r="A280" s="112" t="s">
        <v>1689</v>
      </c>
      <c r="B280" s="112">
        <v>2</v>
      </c>
      <c r="C280" s="115">
        <v>0.0011605159025385348</v>
      </c>
      <c r="D280" s="112" t="s">
        <v>329</v>
      </c>
      <c r="E280" s="112" t="b">
        <v>1</v>
      </c>
      <c r="F280" s="112" t="b">
        <v>0</v>
      </c>
      <c r="G280" s="112" t="b">
        <v>0</v>
      </c>
    </row>
    <row r="281" spans="1:7" ht="15">
      <c r="A281" s="112" t="s">
        <v>1690</v>
      </c>
      <c r="B281" s="112">
        <v>2</v>
      </c>
      <c r="C281" s="115">
        <v>0.0011605159025385348</v>
      </c>
      <c r="D281" s="112" t="s">
        <v>329</v>
      </c>
      <c r="E281" s="112" t="b">
        <v>0</v>
      </c>
      <c r="F281" s="112" t="b">
        <v>0</v>
      </c>
      <c r="G281" s="112" t="b">
        <v>0</v>
      </c>
    </row>
    <row r="282" spans="1:7" ht="15">
      <c r="A282" s="112" t="s">
        <v>1691</v>
      </c>
      <c r="B282" s="112">
        <v>2</v>
      </c>
      <c r="C282" s="115">
        <v>0.0013958794644337506</v>
      </c>
      <c r="D282" s="112" t="s">
        <v>329</v>
      </c>
      <c r="E282" s="112" t="b">
        <v>0</v>
      </c>
      <c r="F282" s="112" t="b">
        <v>0</v>
      </c>
      <c r="G282" s="112" t="b">
        <v>0</v>
      </c>
    </row>
    <row r="283" spans="1:7" ht="15">
      <c r="A283" s="112" t="s">
        <v>1692</v>
      </c>
      <c r="B283" s="112">
        <v>2</v>
      </c>
      <c r="C283" s="115">
        <v>0.0013958794644337506</v>
      </c>
      <c r="D283" s="112" t="s">
        <v>329</v>
      </c>
      <c r="E283" s="112" t="b">
        <v>0</v>
      </c>
      <c r="F283" s="112" t="b">
        <v>0</v>
      </c>
      <c r="G283" s="112" t="b">
        <v>0</v>
      </c>
    </row>
    <row r="284" spans="1:7" ht="15">
      <c r="A284" s="112" t="s">
        <v>1421</v>
      </c>
      <c r="B284" s="112">
        <v>2</v>
      </c>
      <c r="C284" s="115">
        <v>0.0013958794644337506</v>
      </c>
      <c r="D284" s="112" t="s">
        <v>329</v>
      </c>
      <c r="E284" s="112" t="b">
        <v>0</v>
      </c>
      <c r="F284" s="112" t="b">
        <v>0</v>
      </c>
      <c r="G284" s="112" t="b">
        <v>0</v>
      </c>
    </row>
    <row r="285" spans="1:7" ht="15">
      <c r="A285" s="112" t="s">
        <v>1693</v>
      </c>
      <c r="B285" s="112">
        <v>2</v>
      </c>
      <c r="C285" s="115">
        <v>0.0011605159025385348</v>
      </c>
      <c r="D285" s="112" t="s">
        <v>329</v>
      </c>
      <c r="E285" s="112" t="b">
        <v>0</v>
      </c>
      <c r="F285" s="112" t="b">
        <v>0</v>
      </c>
      <c r="G285" s="112" t="b">
        <v>0</v>
      </c>
    </row>
    <row r="286" spans="1:7" ht="15">
      <c r="A286" s="112" t="s">
        <v>1694</v>
      </c>
      <c r="B286" s="112">
        <v>2</v>
      </c>
      <c r="C286" s="115">
        <v>0.0011605159025385348</v>
      </c>
      <c r="D286" s="112" t="s">
        <v>329</v>
      </c>
      <c r="E286" s="112" t="b">
        <v>0</v>
      </c>
      <c r="F286" s="112" t="b">
        <v>0</v>
      </c>
      <c r="G286" s="112" t="b">
        <v>0</v>
      </c>
    </row>
    <row r="287" spans="1:7" ht="15">
      <c r="A287" s="112" t="s">
        <v>1695</v>
      </c>
      <c r="B287" s="112">
        <v>2</v>
      </c>
      <c r="C287" s="115">
        <v>0.0011605159025385348</v>
      </c>
      <c r="D287" s="112" t="s">
        <v>329</v>
      </c>
      <c r="E287" s="112" t="b">
        <v>1</v>
      </c>
      <c r="F287" s="112" t="b">
        <v>0</v>
      </c>
      <c r="G287" s="112" t="b">
        <v>0</v>
      </c>
    </row>
    <row r="288" spans="1:7" ht="15">
      <c r="A288" s="112" t="s">
        <v>1696</v>
      </c>
      <c r="B288" s="112">
        <v>2</v>
      </c>
      <c r="C288" s="115">
        <v>0.0011605159025385348</v>
      </c>
      <c r="D288" s="112" t="s">
        <v>329</v>
      </c>
      <c r="E288" s="112" t="b">
        <v>0</v>
      </c>
      <c r="F288" s="112" t="b">
        <v>0</v>
      </c>
      <c r="G288" s="112" t="b">
        <v>0</v>
      </c>
    </row>
    <row r="289" spans="1:7" ht="15">
      <c r="A289" s="112" t="s">
        <v>1697</v>
      </c>
      <c r="B289" s="112">
        <v>2</v>
      </c>
      <c r="C289" s="115">
        <v>0.0011605159025385348</v>
      </c>
      <c r="D289" s="112" t="s">
        <v>329</v>
      </c>
      <c r="E289" s="112" t="b">
        <v>0</v>
      </c>
      <c r="F289" s="112" t="b">
        <v>0</v>
      </c>
      <c r="G289" s="112" t="b">
        <v>0</v>
      </c>
    </row>
    <row r="290" spans="1:7" ht="15">
      <c r="A290" s="112" t="s">
        <v>1698</v>
      </c>
      <c r="B290" s="112">
        <v>2</v>
      </c>
      <c r="C290" s="115">
        <v>0.0011605159025385348</v>
      </c>
      <c r="D290" s="112" t="s">
        <v>329</v>
      </c>
      <c r="E290" s="112" t="b">
        <v>0</v>
      </c>
      <c r="F290" s="112" t="b">
        <v>0</v>
      </c>
      <c r="G290" s="112" t="b">
        <v>0</v>
      </c>
    </row>
    <row r="291" spans="1:7" ht="15">
      <c r="A291" s="112" t="s">
        <v>318</v>
      </c>
      <c r="B291" s="112">
        <v>2</v>
      </c>
      <c r="C291" s="115">
        <v>0.0011605159025385348</v>
      </c>
      <c r="D291" s="112" t="s">
        <v>329</v>
      </c>
      <c r="E291" s="112" t="b">
        <v>0</v>
      </c>
      <c r="F291" s="112" t="b">
        <v>0</v>
      </c>
      <c r="G291" s="112" t="b">
        <v>0</v>
      </c>
    </row>
    <row r="292" spans="1:7" ht="15">
      <c r="A292" s="112" t="s">
        <v>1699</v>
      </c>
      <c r="B292" s="112">
        <v>2</v>
      </c>
      <c r="C292" s="115">
        <v>0.0011605159025385348</v>
      </c>
      <c r="D292" s="112" t="s">
        <v>329</v>
      </c>
      <c r="E292" s="112" t="b">
        <v>0</v>
      </c>
      <c r="F292" s="112" t="b">
        <v>0</v>
      </c>
      <c r="G292" s="112" t="b">
        <v>0</v>
      </c>
    </row>
    <row r="293" spans="1:7" ht="15">
      <c r="A293" s="112" t="s">
        <v>290</v>
      </c>
      <c r="B293" s="112">
        <v>2</v>
      </c>
      <c r="C293" s="115">
        <v>0.0013958794644337506</v>
      </c>
      <c r="D293" s="112" t="s">
        <v>329</v>
      </c>
      <c r="E293" s="112" t="b">
        <v>0</v>
      </c>
      <c r="F293" s="112" t="b">
        <v>0</v>
      </c>
      <c r="G293" s="112" t="b">
        <v>0</v>
      </c>
    </row>
    <row r="294" spans="1:7" ht="15">
      <c r="A294" s="112" t="s">
        <v>308</v>
      </c>
      <c r="B294" s="112">
        <v>2</v>
      </c>
      <c r="C294" s="115">
        <v>0.0011605159025385348</v>
      </c>
      <c r="D294" s="112" t="s">
        <v>329</v>
      </c>
      <c r="E294" s="112" t="b">
        <v>0</v>
      </c>
      <c r="F294" s="112" t="b">
        <v>0</v>
      </c>
      <c r="G294" s="112" t="b">
        <v>0</v>
      </c>
    </row>
    <row r="295" spans="1:7" ht="15">
      <c r="A295" s="112" t="s">
        <v>311</v>
      </c>
      <c r="B295" s="112">
        <v>2</v>
      </c>
      <c r="C295" s="115">
        <v>0.0011605159025385348</v>
      </c>
      <c r="D295" s="112" t="s">
        <v>329</v>
      </c>
      <c r="E295" s="112" t="b">
        <v>0</v>
      </c>
      <c r="F295" s="112" t="b">
        <v>0</v>
      </c>
      <c r="G295" s="112" t="b">
        <v>0</v>
      </c>
    </row>
    <row r="296" spans="1:7" ht="15">
      <c r="A296" s="112" t="s">
        <v>1700</v>
      </c>
      <c r="B296" s="112">
        <v>2</v>
      </c>
      <c r="C296" s="115">
        <v>0.0011605159025385348</v>
      </c>
      <c r="D296" s="112" t="s">
        <v>329</v>
      </c>
      <c r="E296" s="112" t="b">
        <v>0</v>
      </c>
      <c r="F296" s="112" t="b">
        <v>0</v>
      </c>
      <c r="G296" s="112" t="b">
        <v>0</v>
      </c>
    </row>
    <row r="297" spans="1:7" ht="15">
      <c r="A297" s="112" t="s">
        <v>1701</v>
      </c>
      <c r="B297" s="112">
        <v>2</v>
      </c>
      <c r="C297" s="115">
        <v>0.0011605159025385348</v>
      </c>
      <c r="D297" s="112" t="s">
        <v>329</v>
      </c>
      <c r="E297" s="112" t="b">
        <v>0</v>
      </c>
      <c r="F297" s="112" t="b">
        <v>0</v>
      </c>
      <c r="G297" s="112" t="b">
        <v>0</v>
      </c>
    </row>
    <row r="298" spans="1:7" ht="15">
      <c r="A298" s="112" t="s">
        <v>1702</v>
      </c>
      <c r="B298" s="112">
        <v>2</v>
      </c>
      <c r="C298" s="115">
        <v>0.0011605159025385348</v>
      </c>
      <c r="D298" s="112" t="s">
        <v>329</v>
      </c>
      <c r="E298" s="112" t="b">
        <v>0</v>
      </c>
      <c r="F298" s="112" t="b">
        <v>0</v>
      </c>
      <c r="G298" s="112" t="b">
        <v>0</v>
      </c>
    </row>
    <row r="299" spans="1:7" ht="15">
      <c r="A299" s="112" t="s">
        <v>1703</v>
      </c>
      <c r="B299" s="112">
        <v>2</v>
      </c>
      <c r="C299" s="115">
        <v>0.0011605159025385348</v>
      </c>
      <c r="D299" s="112" t="s">
        <v>329</v>
      </c>
      <c r="E299" s="112" t="b">
        <v>0</v>
      </c>
      <c r="F299" s="112" t="b">
        <v>0</v>
      </c>
      <c r="G299" s="112" t="b">
        <v>0</v>
      </c>
    </row>
    <row r="300" spans="1:7" ht="15">
      <c r="A300" s="112" t="s">
        <v>1704</v>
      </c>
      <c r="B300" s="112">
        <v>2</v>
      </c>
      <c r="C300" s="115">
        <v>0.0011605159025385348</v>
      </c>
      <c r="D300" s="112" t="s">
        <v>329</v>
      </c>
      <c r="E300" s="112" t="b">
        <v>1</v>
      </c>
      <c r="F300" s="112" t="b">
        <v>0</v>
      </c>
      <c r="G300" s="112" t="b">
        <v>0</v>
      </c>
    </row>
    <row r="301" spans="1:7" ht="15">
      <c r="A301" s="112" t="s">
        <v>1705</v>
      </c>
      <c r="B301" s="112">
        <v>2</v>
      </c>
      <c r="C301" s="115">
        <v>0.0011605159025385348</v>
      </c>
      <c r="D301" s="112" t="s">
        <v>329</v>
      </c>
      <c r="E301" s="112" t="b">
        <v>0</v>
      </c>
      <c r="F301" s="112" t="b">
        <v>0</v>
      </c>
      <c r="G301" s="112" t="b">
        <v>0</v>
      </c>
    </row>
    <row r="302" spans="1:7" ht="15">
      <c r="A302" s="112" t="s">
        <v>1706</v>
      </c>
      <c r="B302" s="112">
        <v>2</v>
      </c>
      <c r="C302" s="115">
        <v>0.0011605159025385348</v>
      </c>
      <c r="D302" s="112" t="s">
        <v>329</v>
      </c>
      <c r="E302" s="112" t="b">
        <v>1</v>
      </c>
      <c r="F302" s="112" t="b">
        <v>0</v>
      </c>
      <c r="G302" s="112" t="b">
        <v>0</v>
      </c>
    </row>
    <row r="303" spans="1:7" ht="15">
      <c r="A303" s="112" t="s">
        <v>300</v>
      </c>
      <c r="B303" s="112">
        <v>2</v>
      </c>
      <c r="C303" s="115">
        <v>0.0011605159025385348</v>
      </c>
      <c r="D303" s="112" t="s">
        <v>329</v>
      </c>
      <c r="E303" s="112" t="b">
        <v>1</v>
      </c>
      <c r="F303" s="112" t="b">
        <v>0</v>
      </c>
      <c r="G303" s="112" t="b">
        <v>0</v>
      </c>
    </row>
    <row r="304" spans="1:7" ht="15">
      <c r="A304" s="112" t="s">
        <v>1707</v>
      </c>
      <c r="B304" s="112">
        <v>2</v>
      </c>
      <c r="C304" s="115">
        <v>0.0013958794644337506</v>
      </c>
      <c r="D304" s="112" t="s">
        <v>329</v>
      </c>
      <c r="E304" s="112" t="b">
        <v>0</v>
      </c>
      <c r="F304" s="112" t="b">
        <v>0</v>
      </c>
      <c r="G304" s="112" t="b">
        <v>0</v>
      </c>
    </row>
    <row r="305" spans="1:7" ht="15">
      <c r="A305" s="112" t="s">
        <v>1708</v>
      </c>
      <c r="B305" s="112">
        <v>2</v>
      </c>
      <c r="C305" s="115">
        <v>0.0011605159025385348</v>
      </c>
      <c r="D305" s="112" t="s">
        <v>329</v>
      </c>
      <c r="E305" s="112" t="b">
        <v>0</v>
      </c>
      <c r="F305" s="112" t="b">
        <v>0</v>
      </c>
      <c r="G305" s="112" t="b">
        <v>0</v>
      </c>
    </row>
    <row r="306" spans="1:7" ht="15">
      <c r="A306" s="112" t="s">
        <v>1709</v>
      </c>
      <c r="B306" s="112">
        <v>2</v>
      </c>
      <c r="C306" s="115">
        <v>0.0011605159025385348</v>
      </c>
      <c r="D306" s="112" t="s">
        <v>329</v>
      </c>
      <c r="E306" s="112" t="b">
        <v>0</v>
      </c>
      <c r="F306" s="112" t="b">
        <v>0</v>
      </c>
      <c r="G306" s="112" t="b">
        <v>0</v>
      </c>
    </row>
    <row r="307" spans="1:7" ht="15">
      <c r="A307" s="112" t="s">
        <v>1710</v>
      </c>
      <c r="B307" s="112">
        <v>2</v>
      </c>
      <c r="C307" s="115">
        <v>0.0013958794644337506</v>
      </c>
      <c r="D307" s="112" t="s">
        <v>329</v>
      </c>
      <c r="E307" s="112" t="b">
        <v>0</v>
      </c>
      <c r="F307" s="112" t="b">
        <v>0</v>
      </c>
      <c r="G307" s="112" t="b">
        <v>0</v>
      </c>
    </row>
    <row r="308" spans="1:7" ht="15">
      <c r="A308" s="112" t="s">
        <v>1711</v>
      </c>
      <c r="B308" s="112">
        <v>2</v>
      </c>
      <c r="C308" s="115">
        <v>0.0013958794644337506</v>
      </c>
      <c r="D308" s="112" t="s">
        <v>329</v>
      </c>
      <c r="E308" s="112" t="b">
        <v>0</v>
      </c>
      <c r="F308" s="112" t="b">
        <v>0</v>
      </c>
      <c r="G308" s="112" t="b">
        <v>0</v>
      </c>
    </row>
    <row r="309" spans="1:7" ht="15">
      <c r="A309" s="112" t="s">
        <v>1712</v>
      </c>
      <c r="B309" s="112">
        <v>2</v>
      </c>
      <c r="C309" s="115">
        <v>0.0013958794644337506</v>
      </c>
      <c r="D309" s="112" t="s">
        <v>329</v>
      </c>
      <c r="E309" s="112" t="b">
        <v>0</v>
      </c>
      <c r="F309" s="112" t="b">
        <v>0</v>
      </c>
      <c r="G309" s="112" t="b">
        <v>0</v>
      </c>
    </row>
    <row r="310" spans="1:7" ht="15">
      <c r="A310" s="112" t="s">
        <v>1713</v>
      </c>
      <c r="B310" s="112">
        <v>2</v>
      </c>
      <c r="C310" s="115">
        <v>0.0013958794644337506</v>
      </c>
      <c r="D310" s="112" t="s">
        <v>329</v>
      </c>
      <c r="E310" s="112" t="b">
        <v>0</v>
      </c>
      <c r="F310" s="112" t="b">
        <v>0</v>
      </c>
      <c r="G310" s="112" t="b">
        <v>0</v>
      </c>
    </row>
    <row r="311" spans="1:7" ht="15">
      <c r="A311" s="112" t="s">
        <v>1714</v>
      </c>
      <c r="B311" s="112">
        <v>2</v>
      </c>
      <c r="C311" s="115">
        <v>0.0013958794644337506</v>
      </c>
      <c r="D311" s="112" t="s">
        <v>329</v>
      </c>
      <c r="E311" s="112" t="b">
        <v>0</v>
      </c>
      <c r="F311" s="112" t="b">
        <v>0</v>
      </c>
      <c r="G311" s="112" t="b">
        <v>0</v>
      </c>
    </row>
    <row r="312" spans="1:7" ht="15">
      <c r="A312" s="112" t="s">
        <v>1715</v>
      </c>
      <c r="B312" s="112">
        <v>2</v>
      </c>
      <c r="C312" s="115">
        <v>0.0011605159025385348</v>
      </c>
      <c r="D312" s="112" t="s">
        <v>329</v>
      </c>
      <c r="E312" s="112" t="b">
        <v>0</v>
      </c>
      <c r="F312" s="112" t="b">
        <v>0</v>
      </c>
      <c r="G312" s="112" t="b">
        <v>0</v>
      </c>
    </row>
    <row r="313" spans="1:7" ht="15">
      <c r="A313" s="112" t="s">
        <v>1716</v>
      </c>
      <c r="B313" s="112">
        <v>2</v>
      </c>
      <c r="C313" s="115">
        <v>0.0011605159025385348</v>
      </c>
      <c r="D313" s="112" t="s">
        <v>329</v>
      </c>
      <c r="E313" s="112" t="b">
        <v>0</v>
      </c>
      <c r="F313" s="112" t="b">
        <v>0</v>
      </c>
      <c r="G313" s="112" t="b">
        <v>0</v>
      </c>
    </row>
    <row r="314" spans="1:7" ht="15">
      <c r="A314" s="112" t="s">
        <v>1717</v>
      </c>
      <c r="B314" s="112">
        <v>2</v>
      </c>
      <c r="C314" s="115">
        <v>0.0011605159025385348</v>
      </c>
      <c r="D314" s="112" t="s">
        <v>329</v>
      </c>
      <c r="E314" s="112" t="b">
        <v>0</v>
      </c>
      <c r="F314" s="112" t="b">
        <v>0</v>
      </c>
      <c r="G314" s="112" t="b">
        <v>0</v>
      </c>
    </row>
    <row r="315" spans="1:7" ht="15">
      <c r="A315" s="112" t="s">
        <v>1718</v>
      </c>
      <c r="B315" s="112">
        <v>2</v>
      </c>
      <c r="C315" s="115">
        <v>0.0011605159025385348</v>
      </c>
      <c r="D315" s="112" t="s">
        <v>329</v>
      </c>
      <c r="E315" s="112" t="b">
        <v>0</v>
      </c>
      <c r="F315" s="112" t="b">
        <v>0</v>
      </c>
      <c r="G315" s="112" t="b">
        <v>0</v>
      </c>
    </row>
    <row r="316" spans="1:7" ht="15">
      <c r="A316" s="112" t="s">
        <v>1719</v>
      </c>
      <c r="B316" s="112">
        <v>2</v>
      </c>
      <c r="C316" s="115">
        <v>0.0013958794644337506</v>
      </c>
      <c r="D316" s="112" t="s">
        <v>329</v>
      </c>
      <c r="E316" s="112" t="b">
        <v>0</v>
      </c>
      <c r="F316" s="112" t="b">
        <v>0</v>
      </c>
      <c r="G316" s="112" t="b">
        <v>0</v>
      </c>
    </row>
    <row r="317" spans="1:7" ht="15">
      <c r="A317" s="112" t="s">
        <v>1720</v>
      </c>
      <c r="B317" s="112">
        <v>2</v>
      </c>
      <c r="C317" s="115">
        <v>0.0013958794644337506</v>
      </c>
      <c r="D317" s="112" t="s">
        <v>329</v>
      </c>
      <c r="E317" s="112" t="b">
        <v>0</v>
      </c>
      <c r="F317" s="112" t="b">
        <v>0</v>
      </c>
      <c r="G317" s="112" t="b">
        <v>0</v>
      </c>
    </row>
    <row r="318" spans="1:7" ht="15">
      <c r="A318" s="112" t="s">
        <v>1721</v>
      </c>
      <c r="B318" s="112">
        <v>2</v>
      </c>
      <c r="C318" s="115">
        <v>0.0013958794644337506</v>
      </c>
      <c r="D318" s="112" t="s">
        <v>329</v>
      </c>
      <c r="E318" s="112" t="b">
        <v>0</v>
      </c>
      <c r="F318" s="112" t="b">
        <v>0</v>
      </c>
      <c r="G318" s="112" t="b">
        <v>0</v>
      </c>
    </row>
    <row r="319" spans="1:7" ht="15">
      <c r="A319" s="112" t="s">
        <v>291</v>
      </c>
      <c r="B319" s="112">
        <v>2</v>
      </c>
      <c r="C319" s="115">
        <v>0.0013958794644337506</v>
      </c>
      <c r="D319" s="112" t="s">
        <v>329</v>
      </c>
      <c r="E319" s="112" t="b">
        <v>0</v>
      </c>
      <c r="F319" s="112" t="b">
        <v>0</v>
      </c>
      <c r="G319" s="112" t="b">
        <v>0</v>
      </c>
    </row>
    <row r="320" spans="1:7" ht="15">
      <c r="A320" s="112" t="s">
        <v>1722</v>
      </c>
      <c r="B320" s="112">
        <v>2</v>
      </c>
      <c r="C320" s="115">
        <v>0.0013958794644337506</v>
      </c>
      <c r="D320" s="112" t="s">
        <v>329</v>
      </c>
      <c r="E320" s="112" t="b">
        <v>0</v>
      </c>
      <c r="F320" s="112" t="b">
        <v>0</v>
      </c>
      <c r="G320" s="112" t="b">
        <v>0</v>
      </c>
    </row>
    <row r="321" spans="1:7" ht="15">
      <c r="A321" s="112" t="s">
        <v>1723</v>
      </c>
      <c r="B321" s="112">
        <v>2</v>
      </c>
      <c r="C321" s="115">
        <v>0.0013958794644337506</v>
      </c>
      <c r="D321" s="112" t="s">
        <v>329</v>
      </c>
      <c r="E321" s="112" t="b">
        <v>0</v>
      </c>
      <c r="F321" s="112" t="b">
        <v>0</v>
      </c>
      <c r="G321" s="112" t="b">
        <v>0</v>
      </c>
    </row>
    <row r="322" spans="1:7" ht="15">
      <c r="A322" s="112" t="s">
        <v>1724</v>
      </c>
      <c r="B322" s="112">
        <v>2</v>
      </c>
      <c r="C322" s="115">
        <v>0.0013958794644337506</v>
      </c>
      <c r="D322" s="112" t="s">
        <v>329</v>
      </c>
      <c r="E322" s="112" t="b">
        <v>0</v>
      </c>
      <c r="F322" s="112" t="b">
        <v>0</v>
      </c>
      <c r="G322" s="112" t="b">
        <v>0</v>
      </c>
    </row>
    <row r="323" spans="1:7" ht="15">
      <c r="A323" s="112" t="s">
        <v>1725</v>
      </c>
      <c r="B323" s="112">
        <v>2</v>
      </c>
      <c r="C323" s="115">
        <v>0.0013958794644337506</v>
      </c>
      <c r="D323" s="112" t="s">
        <v>329</v>
      </c>
      <c r="E323" s="112" t="b">
        <v>0</v>
      </c>
      <c r="F323" s="112" t="b">
        <v>0</v>
      </c>
      <c r="G323" s="112" t="b">
        <v>0</v>
      </c>
    </row>
    <row r="324" spans="1:7" ht="15">
      <c r="A324" s="112" t="s">
        <v>1726</v>
      </c>
      <c r="B324" s="112">
        <v>2</v>
      </c>
      <c r="C324" s="115">
        <v>0.0013958794644337506</v>
      </c>
      <c r="D324" s="112" t="s">
        <v>329</v>
      </c>
      <c r="E324" s="112" t="b">
        <v>0</v>
      </c>
      <c r="F324" s="112" t="b">
        <v>1</v>
      </c>
      <c r="G324" s="112" t="b">
        <v>0</v>
      </c>
    </row>
    <row r="325" spans="1:7" ht="15">
      <c r="A325" s="112" t="s">
        <v>1727</v>
      </c>
      <c r="B325" s="112">
        <v>2</v>
      </c>
      <c r="C325" s="115">
        <v>0.0011605159025385348</v>
      </c>
      <c r="D325" s="112" t="s">
        <v>329</v>
      </c>
      <c r="E325" s="112" t="b">
        <v>1</v>
      </c>
      <c r="F325" s="112" t="b">
        <v>0</v>
      </c>
      <c r="G325" s="112" t="b">
        <v>0</v>
      </c>
    </row>
    <row r="326" spans="1:7" ht="15">
      <c r="A326" s="112" t="s">
        <v>1728</v>
      </c>
      <c r="B326" s="112">
        <v>2</v>
      </c>
      <c r="C326" s="115">
        <v>0.0013958794644337506</v>
      </c>
      <c r="D326" s="112" t="s">
        <v>329</v>
      </c>
      <c r="E326" s="112" t="b">
        <v>0</v>
      </c>
      <c r="F326" s="112" t="b">
        <v>0</v>
      </c>
      <c r="G326" s="112" t="b">
        <v>0</v>
      </c>
    </row>
    <row r="327" spans="1:7" ht="15">
      <c r="A327" s="112" t="s">
        <v>1729</v>
      </c>
      <c r="B327" s="112">
        <v>2</v>
      </c>
      <c r="C327" s="115">
        <v>0.0013958794644337506</v>
      </c>
      <c r="D327" s="112" t="s">
        <v>329</v>
      </c>
      <c r="E327" s="112" t="b">
        <v>0</v>
      </c>
      <c r="F327" s="112" t="b">
        <v>0</v>
      </c>
      <c r="G327" s="112" t="b">
        <v>0</v>
      </c>
    </row>
    <row r="328" spans="1:7" ht="15">
      <c r="A328" s="112" t="s">
        <v>1730</v>
      </c>
      <c r="B328" s="112">
        <v>2</v>
      </c>
      <c r="C328" s="115">
        <v>0.0013958794644337506</v>
      </c>
      <c r="D328" s="112" t="s">
        <v>329</v>
      </c>
      <c r="E328" s="112" t="b">
        <v>0</v>
      </c>
      <c r="F328" s="112" t="b">
        <v>0</v>
      </c>
      <c r="G328" s="112" t="b">
        <v>0</v>
      </c>
    </row>
    <row r="329" spans="1:7" ht="15">
      <c r="A329" s="112" t="s">
        <v>1731</v>
      </c>
      <c r="B329" s="112">
        <v>2</v>
      </c>
      <c r="C329" s="115">
        <v>0.0013958794644337506</v>
      </c>
      <c r="D329" s="112" t="s">
        <v>329</v>
      </c>
      <c r="E329" s="112" t="b">
        <v>0</v>
      </c>
      <c r="F329" s="112" t="b">
        <v>0</v>
      </c>
      <c r="G329" s="112" t="b">
        <v>0</v>
      </c>
    </row>
    <row r="330" spans="1:7" ht="15">
      <c r="A330" s="112" t="s">
        <v>1732</v>
      </c>
      <c r="B330" s="112">
        <v>2</v>
      </c>
      <c r="C330" s="115">
        <v>0.0013958794644337506</v>
      </c>
      <c r="D330" s="112" t="s">
        <v>329</v>
      </c>
      <c r="E330" s="112" t="b">
        <v>0</v>
      </c>
      <c r="F330" s="112" t="b">
        <v>0</v>
      </c>
      <c r="G330" s="112" t="b">
        <v>0</v>
      </c>
    </row>
    <row r="331" spans="1:7" ht="15">
      <c r="A331" s="112" t="s">
        <v>1733</v>
      </c>
      <c r="B331" s="112">
        <v>2</v>
      </c>
      <c r="C331" s="115">
        <v>0.0013958794644337506</v>
      </c>
      <c r="D331" s="112" t="s">
        <v>329</v>
      </c>
      <c r="E331" s="112" t="b">
        <v>0</v>
      </c>
      <c r="F331" s="112" t="b">
        <v>0</v>
      </c>
      <c r="G331" s="112" t="b">
        <v>0</v>
      </c>
    </row>
    <row r="332" spans="1:7" ht="15">
      <c r="A332" s="112" t="s">
        <v>1734</v>
      </c>
      <c r="B332" s="112">
        <v>2</v>
      </c>
      <c r="C332" s="115">
        <v>0.0011605159025385348</v>
      </c>
      <c r="D332" s="112" t="s">
        <v>329</v>
      </c>
      <c r="E332" s="112" t="b">
        <v>0</v>
      </c>
      <c r="F332" s="112" t="b">
        <v>0</v>
      </c>
      <c r="G332" s="112" t="b">
        <v>0</v>
      </c>
    </row>
    <row r="333" spans="1:7" ht="15">
      <c r="A333" s="112" t="s">
        <v>1735</v>
      </c>
      <c r="B333" s="112">
        <v>2</v>
      </c>
      <c r="C333" s="115">
        <v>0.0013958794644337506</v>
      </c>
      <c r="D333" s="112" t="s">
        <v>329</v>
      </c>
      <c r="E333" s="112" t="b">
        <v>0</v>
      </c>
      <c r="F333" s="112" t="b">
        <v>0</v>
      </c>
      <c r="G333" s="112" t="b">
        <v>0</v>
      </c>
    </row>
    <row r="334" spans="1:7" ht="15">
      <c r="A334" s="112" t="s">
        <v>1736</v>
      </c>
      <c r="B334" s="112">
        <v>2</v>
      </c>
      <c r="C334" s="115">
        <v>0.0013958794644337506</v>
      </c>
      <c r="D334" s="112" t="s">
        <v>329</v>
      </c>
      <c r="E334" s="112" t="b">
        <v>0</v>
      </c>
      <c r="F334" s="112" t="b">
        <v>0</v>
      </c>
      <c r="G334" s="112" t="b">
        <v>0</v>
      </c>
    </row>
    <row r="335" spans="1:7" ht="15">
      <c r="A335" s="112" t="s">
        <v>1737</v>
      </c>
      <c r="B335" s="112">
        <v>2</v>
      </c>
      <c r="C335" s="115">
        <v>0.0011605159025385348</v>
      </c>
      <c r="D335" s="112" t="s">
        <v>329</v>
      </c>
      <c r="E335" s="112" t="b">
        <v>0</v>
      </c>
      <c r="F335" s="112" t="b">
        <v>0</v>
      </c>
      <c r="G335" s="112" t="b">
        <v>0</v>
      </c>
    </row>
    <row r="336" spans="1:7" ht="15">
      <c r="A336" s="112" t="s">
        <v>1738</v>
      </c>
      <c r="B336" s="112">
        <v>2</v>
      </c>
      <c r="C336" s="115">
        <v>0.0013958794644337506</v>
      </c>
      <c r="D336" s="112" t="s">
        <v>329</v>
      </c>
      <c r="E336" s="112" t="b">
        <v>0</v>
      </c>
      <c r="F336" s="112" t="b">
        <v>0</v>
      </c>
      <c r="G336" s="112" t="b">
        <v>0</v>
      </c>
    </row>
    <row r="337" spans="1:7" ht="15">
      <c r="A337" s="112" t="s">
        <v>1739</v>
      </c>
      <c r="B337" s="112">
        <v>2</v>
      </c>
      <c r="C337" s="115">
        <v>0.0013958794644337506</v>
      </c>
      <c r="D337" s="112" t="s">
        <v>329</v>
      </c>
      <c r="E337" s="112" t="b">
        <v>0</v>
      </c>
      <c r="F337" s="112" t="b">
        <v>0</v>
      </c>
      <c r="G337" s="112" t="b">
        <v>0</v>
      </c>
    </row>
    <row r="338" spans="1:7" ht="15">
      <c r="A338" s="112" t="s">
        <v>1740</v>
      </c>
      <c r="B338" s="112">
        <v>2</v>
      </c>
      <c r="C338" s="115">
        <v>0.0013958794644337506</v>
      </c>
      <c r="D338" s="112" t="s">
        <v>329</v>
      </c>
      <c r="E338" s="112" t="b">
        <v>0</v>
      </c>
      <c r="F338" s="112" t="b">
        <v>0</v>
      </c>
      <c r="G338" s="112" t="b">
        <v>0</v>
      </c>
    </row>
    <row r="339" spans="1:7" ht="15">
      <c r="A339" s="112" t="s">
        <v>1741</v>
      </c>
      <c r="B339" s="112">
        <v>2</v>
      </c>
      <c r="C339" s="115">
        <v>0.0011605159025385348</v>
      </c>
      <c r="D339" s="112" t="s">
        <v>329</v>
      </c>
      <c r="E339" s="112" t="b">
        <v>0</v>
      </c>
      <c r="F339" s="112" t="b">
        <v>0</v>
      </c>
      <c r="G339" s="112" t="b">
        <v>0</v>
      </c>
    </row>
    <row r="340" spans="1:7" ht="15">
      <c r="A340" s="112" t="s">
        <v>1742</v>
      </c>
      <c r="B340" s="112">
        <v>2</v>
      </c>
      <c r="C340" s="115">
        <v>0.0011605159025385348</v>
      </c>
      <c r="D340" s="112" t="s">
        <v>329</v>
      </c>
      <c r="E340" s="112" t="b">
        <v>0</v>
      </c>
      <c r="F340" s="112" t="b">
        <v>0</v>
      </c>
      <c r="G340" s="112" t="b">
        <v>0</v>
      </c>
    </row>
    <row r="341" spans="1:7" ht="15">
      <c r="A341" s="112" t="s">
        <v>323</v>
      </c>
      <c r="B341" s="112">
        <v>2</v>
      </c>
      <c r="C341" s="115">
        <v>0.0011605159025385348</v>
      </c>
      <c r="D341" s="112" t="s">
        <v>329</v>
      </c>
      <c r="E341" s="112" t="b">
        <v>0</v>
      </c>
      <c r="F341" s="112" t="b">
        <v>0</v>
      </c>
      <c r="G341" s="112" t="b">
        <v>0</v>
      </c>
    </row>
    <row r="342" spans="1:7" ht="15">
      <c r="A342" s="112" t="s">
        <v>1743</v>
      </c>
      <c r="B342" s="112">
        <v>2</v>
      </c>
      <c r="C342" s="115">
        <v>0.0013958794644337506</v>
      </c>
      <c r="D342" s="112" t="s">
        <v>329</v>
      </c>
      <c r="E342" s="112" t="b">
        <v>0</v>
      </c>
      <c r="F342" s="112" t="b">
        <v>0</v>
      </c>
      <c r="G342" s="112" t="b">
        <v>0</v>
      </c>
    </row>
    <row r="343" spans="1:7" ht="15">
      <c r="A343" s="112" t="s">
        <v>1744</v>
      </c>
      <c r="B343" s="112">
        <v>2</v>
      </c>
      <c r="C343" s="115">
        <v>0.0011605159025385348</v>
      </c>
      <c r="D343" s="112" t="s">
        <v>329</v>
      </c>
      <c r="E343" s="112" t="b">
        <v>0</v>
      </c>
      <c r="F343" s="112" t="b">
        <v>0</v>
      </c>
      <c r="G343" s="112" t="b">
        <v>0</v>
      </c>
    </row>
    <row r="344" spans="1:7" ht="15">
      <c r="A344" s="112" t="s">
        <v>1745</v>
      </c>
      <c r="B344" s="112">
        <v>2</v>
      </c>
      <c r="C344" s="115">
        <v>0.0011605159025385348</v>
      </c>
      <c r="D344" s="112" t="s">
        <v>329</v>
      </c>
      <c r="E344" s="112" t="b">
        <v>0</v>
      </c>
      <c r="F344" s="112" t="b">
        <v>0</v>
      </c>
      <c r="G344" s="112" t="b">
        <v>0</v>
      </c>
    </row>
    <row r="345" spans="1:7" ht="15">
      <c r="A345" s="112" t="s">
        <v>1746</v>
      </c>
      <c r="B345" s="112">
        <v>2</v>
      </c>
      <c r="C345" s="115">
        <v>0.0011605159025385348</v>
      </c>
      <c r="D345" s="112" t="s">
        <v>329</v>
      </c>
      <c r="E345" s="112" t="b">
        <v>0</v>
      </c>
      <c r="F345" s="112" t="b">
        <v>0</v>
      </c>
      <c r="G345" s="112" t="b">
        <v>0</v>
      </c>
    </row>
    <row r="346" spans="1:7" ht="15">
      <c r="A346" s="112" t="s">
        <v>1747</v>
      </c>
      <c r="B346" s="112">
        <v>2</v>
      </c>
      <c r="C346" s="115">
        <v>0.0013958794644337506</v>
      </c>
      <c r="D346" s="112" t="s">
        <v>329</v>
      </c>
      <c r="E346" s="112" t="b">
        <v>0</v>
      </c>
      <c r="F346" s="112" t="b">
        <v>0</v>
      </c>
      <c r="G346" s="112" t="b">
        <v>0</v>
      </c>
    </row>
    <row r="347" spans="1:7" ht="15">
      <c r="A347" s="112" t="s">
        <v>1748</v>
      </c>
      <c r="B347" s="112">
        <v>2</v>
      </c>
      <c r="C347" s="115">
        <v>0.0013958794644337506</v>
      </c>
      <c r="D347" s="112" t="s">
        <v>329</v>
      </c>
      <c r="E347" s="112" t="b">
        <v>0</v>
      </c>
      <c r="F347" s="112" t="b">
        <v>0</v>
      </c>
      <c r="G347" s="112" t="b">
        <v>0</v>
      </c>
    </row>
    <row r="348" spans="1:7" ht="15">
      <c r="A348" s="112" t="s">
        <v>1749</v>
      </c>
      <c r="B348" s="112">
        <v>2</v>
      </c>
      <c r="C348" s="115">
        <v>0.0011605159025385348</v>
      </c>
      <c r="D348" s="112" t="s">
        <v>329</v>
      </c>
      <c r="E348" s="112" t="b">
        <v>0</v>
      </c>
      <c r="F348" s="112" t="b">
        <v>0</v>
      </c>
      <c r="G348" s="112" t="b">
        <v>0</v>
      </c>
    </row>
    <row r="349" spans="1:7" ht="15">
      <c r="A349" s="112" t="s">
        <v>1750</v>
      </c>
      <c r="B349" s="112">
        <v>2</v>
      </c>
      <c r="C349" s="115">
        <v>0.0011605159025385348</v>
      </c>
      <c r="D349" s="112" t="s">
        <v>329</v>
      </c>
      <c r="E349" s="112" t="b">
        <v>0</v>
      </c>
      <c r="F349" s="112" t="b">
        <v>1</v>
      </c>
      <c r="G349" s="112" t="b">
        <v>0</v>
      </c>
    </row>
    <row r="350" spans="1:7" ht="15">
      <c r="A350" s="112" t="s">
        <v>1751</v>
      </c>
      <c r="B350" s="112">
        <v>2</v>
      </c>
      <c r="C350" s="115">
        <v>0.0011605159025385348</v>
      </c>
      <c r="D350" s="112" t="s">
        <v>329</v>
      </c>
      <c r="E350" s="112" t="b">
        <v>0</v>
      </c>
      <c r="F350" s="112" t="b">
        <v>0</v>
      </c>
      <c r="G350" s="112" t="b">
        <v>0</v>
      </c>
    </row>
    <row r="351" spans="1:7" ht="15">
      <c r="A351" s="112" t="s">
        <v>1752</v>
      </c>
      <c r="B351" s="112">
        <v>2</v>
      </c>
      <c r="C351" s="115">
        <v>0.0013958794644337506</v>
      </c>
      <c r="D351" s="112" t="s">
        <v>329</v>
      </c>
      <c r="E351" s="112" t="b">
        <v>0</v>
      </c>
      <c r="F351" s="112" t="b">
        <v>0</v>
      </c>
      <c r="G351" s="112" t="b">
        <v>0</v>
      </c>
    </row>
    <row r="352" spans="1:7" ht="15">
      <c r="A352" s="112" t="s">
        <v>1753</v>
      </c>
      <c r="B352" s="112">
        <v>2</v>
      </c>
      <c r="C352" s="115">
        <v>0.0011605159025385348</v>
      </c>
      <c r="D352" s="112" t="s">
        <v>329</v>
      </c>
      <c r="E352" s="112" t="b">
        <v>0</v>
      </c>
      <c r="F352" s="112" t="b">
        <v>0</v>
      </c>
      <c r="G352" s="112" t="b">
        <v>0</v>
      </c>
    </row>
    <row r="353" spans="1:7" ht="15">
      <c r="A353" s="112" t="s">
        <v>1754</v>
      </c>
      <c r="B353" s="112">
        <v>2</v>
      </c>
      <c r="C353" s="115">
        <v>0.0011605159025385348</v>
      </c>
      <c r="D353" s="112" t="s">
        <v>329</v>
      </c>
      <c r="E353" s="112" t="b">
        <v>0</v>
      </c>
      <c r="F353" s="112" t="b">
        <v>0</v>
      </c>
      <c r="G353" s="112" t="b">
        <v>0</v>
      </c>
    </row>
    <row r="354" spans="1:7" ht="15">
      <c r="A354" s="112" t="s">
        <v>1755</v>
      </c>
      <c r="B354" s="112">
        <v>2</v>
      </c>
      <c r="C354" s="115">
        <v>0.0011605159025385348</v>
      </c>
      <c r="D354" s="112" t="s">
        <v>329</v>
      </c>
      <c r="E354" s="112" t="b">
        <v>0</v>
      </c>
      <c r="F354" s="112" t="b">
        <v>0</v>
      </c>
      <c r="G354" s="112" t="b">
        <v>0</v>
      </c>
    </row>
    <row r="355" spans="1:7" ht="15">
      <c r="A355" s="112" t="s">
        <v>1756</v>
      </c>
      <c r="B355" s="112">
        <v>2</v>
      </c>
      <c r="C355" s="115">
        <v>0.0013958794644337506</v>
      </c>
      <c r="D355" s="112" t="s">
        <v>329</v>
      </c>
      <c r="E355" s="112" t="b">
        <v>0</v>
      </c>
      <c r="F355" s="112" t="b">
        <v>0</v>
      </c>
      <c r="G355" s="112" t="b">
        <v>0</v>
      </c>
    </row>
    <row r="356" spans="1:7" ht="15">
      <c r="A356" s="112" t="s">
        <v>1757</v>
      </c>
      <c r="B356" s="112">
        <v>2</v>
      </c>
      <c r="C356" s="115">
        <v>0.0011605159025385348</v>
      </c>
      <c r="D356" s="112" t="s">
        <v>329</v>
      </c>
      <c r="E356" s="112" t="b">
        <v>0</v>
      </c>
      <c r="F356" s="112" t="b">
        <v>0</v>
      </c>
      <c r="G356" s="112" t="b">
        <v>0</v>
      </c>
    </row>
    <row r="357" spans="1:7" ht="15">
      <c r="A357" s="112" t="s">
        <v>1758</v>
      </c>
      <c r="B357" s="112">
        <v>2</v>
      </c>
      <c r="C357" s="115">
        <v>0.0011605159025385348</v>
      </c>
      <c r="D357" s="112" t="s">
        <v>329</v>
      </c>
      <c r="E357" s="112" t="b">
        <v>0</v>
      </c>
      <c r="F357" s="112" t="b">
        <v>0</v>
      </c>
      <c r="G357" s="112" t="b">
        <v>0</v>
      </c>
    </row>
    <row r="358" spans="1:7" ht="15">
      <c r="A358" s="112" t="s">
        <v>1759</v>
      </c>
      <c r="B358" s="112">
        <v>2</v>
      </c>
      <c r="C358" s="115">
        <v>0.0011605159025385348</v>
      </c>
      <c r="D358" s="112" t="s">
        <v>329</v>
      </c>
      <c r="E358" s="112" t="b">
        <v>0</v>
      </c>
      <c r="F358" s="112" t="b">
        <v>0</v>
      </c>
      <c r="G358" s="112" t="b">
        <v>0</v>
      </c>
    </row>
    <row r="359" spans="1:7" ht="15">
      <c r="A359" s="112" t="s">
        <v>1760</v>
      </c>
      <c r="B359" s="112">
        <v>2</v>
      </c>
      <c r="C359" s="115">
        <v>0.0013958794644337506</v>
      </c>
      <c r="D359" s="112" t="s">
        <v>329</v>
      </c>
      <c r="E359" s="112" t="b">
        <v>0</v>
      </c>
      <c r="F359" s="112" t="b">
        <v>0</v>
      </c>
      <c r="G359" s="112" t="b">
        <v>0</v>
      </c>
    </row>
    <row r="360" spans="1:7" ht="15">
      <c r="A360" s="112" t="s">
        <v>1761</v>
      </c>
      <c r="B360" s="112">
        <v>2</v>
      </c>
      <c r="C360" s="115">
        <v>0.0013958794644337506</v>
      </c>
      <c r="D360" s="112" t="s">
        <v>329</v>
      </c>
      <c r="E360" s="112" t="b">
        <v>0</v>
      </c>
      <c r="F360" s="112" t="b">
        <v>0</v>
      </c>
      <c r="G360" s="112" t="b">
        <v>0</v>
      </c>
    </row>
    <row r="361" spans="1:7" ht="15">
      <c r="A361" s="112" t="s">
        <v>1762</v>
      </c>
      <c r="B361" s="112">
        <v>2</v>
      </c>
      <c r="C361" s="115">
        <v>0.0011605159025385348</v>
      </c>
      <c r="D361" s="112" t="s">
        <v>329</v>
      </c>
      <c r="E361" s="112" t="b">
        <v>0</v>
      </c>
      <c r="F361" s="112" t="b">
        <v>0</v>
      </c>
      <c r="G361" s="112" t="b">
        <v>0</v>
      </c>
    </row>
    <row r="362" spans="1:7" ht="15">
      <c r="A362" s="112" t="s">
        <v>1763</v>
      </c>
      <c r="B362" s="112">
        <v>2</v>
      </c>
      <c r="C362" s="115">
        <v>0.0013958794644337506</v>
      </c>
      <c r="D362" s="112" t="s">
        <v>329</v>
      </c>
      <c r="E362" s="112" t="b">
        <v>0</v>
      </c>
      <c r="F362" s="112" t="b">
        <v>0</v>
      </c>
      <c r="G362" s="112" t="b">
        <v>0</v>
      </c>
    </row>
    <row r="363" spans="1:7" ht="15">
      <c r="A363" s="112" t="s">
        <v>1764</v>
      </c>
      <c r="B363" s="112">
        <v>2</v>
      </c>
      <c r="C363" s="115">
        <v>0.0013958794644337506</v>
      </c>
      <c r="D363" s="112" t="s">
        <v>329</v>
      </c>
      <c r="E363" s="112" t="b">
        <v>0</v>
      </c>
      <c r="F363" s="112" t="b">
        <v>0</v>
      </c>
      <c r="G363" s="112" t="b">
        <v>0</v>
      </c>
    </row>
    <row r="364" spans="1:7" ht="15">
      <c r="A364" s="112" t="s">
        <v>1765</v>
      </c>
      <c r="B364" s="112">
        <v>2</v>
      </c>
      <c r="C364" s="115">
        <v>0.0011605159025385348</v>
      </c>
      <c r="D364" s="112" t="s">
        <v>329</v>
      </c>
      <c r="E364" s="112" t="b">
        <v>0</v>
      </c>
      <c r="F364" s="112" t="b">
        <v>0</v>
      </c>
      <c r="G364" s="112" t="b">
        <v>0</v>
      </c>
    </row>
    <row r="365" spans="1:7" ht="15">
      <c r="A365" s="112" t="s">
        <v>1766</v>
      </c>
      <c r="B365" s="112">
        <v>2</v>
      </c>
      <c r="C365" s="115">
        <v>0.0013958794644337506</v>
      </c>
      <c r="D365" s="112" t="s">
        <v>329</v>
      </c>
      <c r="E365" s="112" t="b">
        <v>0</v>
      </c>
      <c r="F365" s="112" t="b">
        <v>0</v>
      </c>
      <c r="G365" s="112" t="b">
        <v>0</v>
      </c>
    </row>
    <row r="366" spans="1:7" ht="15">
      <c r="A366" s="112" t="s">
        <v>1767</v>
      </c>
      <c r="B366" s="112">
        <v>2</v>
      </c>
      <c r="C366" s="115">
        <v>0.0013958794644337506</v>
      </c>
      <c r="D366" s="112" t="s">
        <v>329</v>
      </c>
      <c r="E366" s="112" t="b">
        <v>0</v>
      </c>
      <c r="F366" s="112" t="b">
        <v>0</v>
      </c>
      <c r="G366" s="112" t="b">
        <v>0</v>
      </c>
    </row>
    <row r="367" spans="1:7" ht="15">
      <c r="A367" s="112" t="s">
        <v>1768</v>
      </c>
      <c r="B367" s="112">
        <v>2</v>
      </c>
      <c r="C367" s="115">
        <v>0.0013958794644337506</v>
      </c>
      <c r="D367" s="112" t="s">
        <v>329</v>
      </c>
      <c r="E367" s="112" t="b">
        <v>0</v>
      </c>
      <c r="F367" s="112" t="b">
        <v>0</v>
      </c>
      <c r="G367" s="112" t="b">
        <v>0</v>
      </c>
    </row>
    <row r="368" spans="1:7" ht="15">
      <c r="A368" s="112" t="s">
        <v>1769</v>
      </c>
      <c r="B368" s="112">
        <v>2</v>
      </c>
      <c r="C368" s="115">
        <v>0.0011605159025385348</v>
      </c>
      <c r="D368" s="112" t="s">
        <v>329</v>
      </c>
      <c r="E368" s="112" t="b">
        <v>1</v>
      </c>
      <c r="F368" s="112" t="b">
        <v>0</v>
      </c>
      <c r="G368" s="112" t="b">
        <v>0</v>
      </c>
    </row>
    <row r="369" spans="1:7" ht="15">
      <c r="A369" s="112" t="s">
        <v>1770</v>
      </c>
      <c r="B369" s="112">
        <v>2</v>
      </c>
      <c r="C369" s="115">
        <v>0.0013958794644337506</v>
      </c>
      <c r="D369" s="112" t="s">
        <v>329</v>
      </c>
      <c r="E369" s="112" t="b">
        <v>0</v>
      </c>
      <c r="F369" s="112" t="b">
        <v>0</v>
      </c>
      <c r="G369" s="112" t="b">
        <v>0</v>
      </c>
    </row>
    <row r="370" spans="1:7" ht="15">
      <c r="A370" s="112" t="s">
        <v>1771</v>
      </c>
      <c r="B370" s="112">
        <v>2</v>
      </c>
      <c r="C370" s="115">
        <v>0.0013958794644337506</v>
      </c>
      <c r="D370" s="112" t="s">
        <v>329</v>
      </c>
      <c r="E370" s="112" t="b">
        <v>0</v>
      </c>
      <c r="F370" s="112" t="b">
        <v>0</v>
      </c>
      <c r="G370" s="112" t="b">
        <v>0</v>
      </c>
    </row>
    <row r="371" spans="1:7" ht="15">
      <c r="A371" s="112" t="s">
        <v>1772</v>
      </c>
      <c r="B371" s="112">
        <v>2</v>
      </c>
      <c r="C371" s="115">
        <v>0.0013958794644337506</v>
      </c>
      <c r="D371" s="112" t="s">
        <v>329</v>
      </c>
      <c r="E371" s="112" t="b">
        <v>0</v>
      </c>
      <c r="F371" s="112" t="b">
        <v>0</v>
      </c>
      <c r="G371" s="112" t="b">
        <v>0</v>
      </c>
    </row>
    <row r="372" spans="1:7" ht="15">
      <c r="A372" s="112" t="s">
        <v>1773</v>
      </c>
      <c r="B372" s="112">
        <v>2</v>
      </c>
      <c r="C372" s="115">
        <v>0.0011605159025385348</v>
      </c>
      <c r="D372" s="112" t="s">
        <v>329</v>
      </c>
      <c r="E372" s="112" t="b">
        <v>0</v>
      </c>
      <c r="F372" s="112" t="b">
        <v>0</v>
      </c>
      <c r="G372" s="112" t="b">
        <v>0</v>
      </c>
    </row>
    <row r="373" spans="1:7" ht="15">
      <c r="A373" s="112" t="s">
        <v>1774</v>
      </c>
      <c r="B373" s="112">
        <v>2</v>
      </c>
      <c r="C373" s="115">
        <v>0.0011605159025385348</v>
      </c>
      <c r="D373" s="112" t="s">
        <v>329</v>
      </c>
      <c r="E373" s="112" t="b">
        <v>0</v>
      </c>
      <c r="F373" s="112" t="b">
        <v>0</v>
      </c>
      <c r="G373" s="112" t="b">
        <v>0</v>
      </c>
    </row>
    <row r="374" spans="1:7" ht="15">
      <c r="A374" s="112" t="s">
        <v>1775</v>
      </c>
      <c r="B374" s="112">
        <v>2</v>
      </c>
      <c r="C374" s="115">
        <v>0.0013958794644337506</v>
      </c>
      <c r="D374" s="112" t="s">
        <v>329</v>
      </c>
      <c r="E374" s="112" t="b">
        <v>0</v>
      </c>
      <c r="F374" s="112" t="b">
        <v>0</v>
      </c>
      <c r="G374" s="112" t="b">
        <v>0</v>
      </c>
    </row>
    <row r="375" spans="1:7" ht="15">
      <c r="A375" s="112" t="s">
        <v>1776</v>
      </c>
      <c r="B375" s="112">
        <v>2</v>
      </c>
      <c r="C375" s="115">
        <v>0.0011605159025385348</v>
      </c>
      <c r="D375" s="112" t="s">
        <v>329</v>
      </c>
      <c r="E375" s="112" t="b">
        <v>0</v>
      </c>
      <c r="F375" s="112" t="b">
        <v>0</v>
      </c>
      <c r="G375" s="112" t="b">
        <v>0</v>
      </c>
    </row>
    <row r="376" spans="1:7" ht="15">
      <c r="A376" s="112" t="s">
        <v>1777</v>
      </c>
      <c r="B376" s="112">
        <v>2</v>
      </c>
      <c r="C376" s="115">
        <v>0.0013958794644337506</v>
      </c>
      <c r="D376" s="112" t="s">
        <v>329</v>
      </c>
      <c r="E376" s="112" t="b">
        <v>0</v>
      </c>
      <c r="F376" s="112" t="b">
        <v>0</v>
      </c>
      <c r="G376" s="112" t="b">
        <v>0</v>
      </c>
    </row>
    <row r="377" spans="1:7" ht="15">
      <c r="A377" s="112" t="s">
        <v>1778</v>
      </c>
      <c r="B377" s="112">
        <v>2</v>
      </c>
      <c r="C377" s="115">
        <v>0.0013958794644337506</v>
      </c>
      <c r="D377" s="112" t="s">
        <v>329</v>
      </c>
      <c r="E377" s="112" t="b">
        <v>0</v>
      </c>
      <c r="F377" s="112" t="b">
        <v>0</v>
      </c>
      <c r="G377" s="112" t="b">
        <v>0</v>
      </c>
    </row>
    <row r="378" spans="1:7" ht="15">
      <c r="A378" s="112" t="s">
        <v>1779</v>
      </c>
      <c r="B378" s="112">
        <v>2</v>
      </c>
      <c r="C378" s="115">
        <v>0.0013958794644337506</v>
      </c>
      <c r="D378" s="112" t="s">
        <v>329</v>
      </c>
      <c r="E378" s="112" t="b">
        <v>0</v>
      </c>
      <c r="F378" s="112" t="b">
        <v>0</v>
      </c>
      <c r="G378" s="112" t="b">
        <v>0</v>
      </c>
    </row>
    <row r="379" spans="1:7" ht="15">
      <c r="A379" s="112" t="s">
        <v>1780</v>
      </c>
      <c r="B379" s="112">
        <v>2</v>
      </c>
      <c r="C379" s="115">
        <v>0.0013958794644337506</v>
      </c>
      <c r="D379" s="112" t="s">
        <v>329</v>
      </c>
      <c r="E379" s="112" t="b">
        <v>0</v>
      </c>
      <c r="F379" s="112" t="b">
        <v>0</v>
      </c>
      <c r="G379" s="112" t="b">
        <v>0</v>
      </c>
    </row>
    <row r="380" spans="1:7" ht="15">
      <c r="A380" s="112" t="s">
        <v>1781</v>
      </c>
      <c r="B380" s="112">
        <v>2</v>
      </c>
      <c r="C380" s="115">
        <v>0.0013958794644337506</v>
      </c>
      <c r="D380" s="112" t="s">
        <v>329</v>
      </c>
      <c r="E380" s="112" t="b">
        <v>0</v>
      </c>
      <c r="F380" s="112" t="b">
        <v>0</v>
      </c>
      <c r="G380" s="112" t="b">
        <v>0</v>
      </c>
    </row>
    <row r="381" spans="1:7" ht="15">
      <c r="A381" s="112" t="s">
        <v>1450</v>
      </c>
      <c r="B381" s="112">
        <v>40</v>
      </c>
      <c r="C381" s="115">
        <v>0.01300271326129309</v>
      </c>
      <c r="D381" s="112" t="s">
        <v>232</v>
      </c>
      <c r="E381" s="112" t="b">
        <v>0</v>
      </c>
      <c r="F381" s="112" t="b">
        <v>0</v>
      </c>
      <c r="G381" s="112" t="b">
        <v>0</v>
      </c>
    </row>
    <row r="382" spans="1:7" ht="15">
      <c r="A382" s="112" t="s">
        <v>1451</v>
      </c>
      <c r="B382" s="112">
        <v>32</v>
      </c>
      <c r="C382" s="115">
        <v>0.011470398478699483</v>
      </c>
      <c r="D382" s="112" t="s">
        <v>232</v>
      </c>
      <c r="E382" s="112" t="b">
        <v>0</v>
      </c>
      <c r="F382" s="112" t="b">
        <v>0</v>
      </c>
      <c r="G382" s="112" t="b">
        <v>0</v>
      </c>
    </row>
    <row r="383" spans="1:7" ht="15">
      <c r="A383" s="112" t="s">
        <v>1452</v>
      </c>
      <c r="B383" s="112">
        <v>27</v>
      </c>
      <c r="C383" s="115">
        <v>0.011756818985316385</v>
      </c>
      <c r="D383" s="112" t="s">
        <v>232</v>
      </c>
      <c r="E383" s="112" t="b">
        <v>0</v>
      </c>
      <c r="F383" s="112" t="b">
        <v>0</v>
      </c>
      <c r="G383" s="112" t="b">
        <v>0</v>
      </c>
    </row>
    <row r="384" spans="1:7" ht="15">
      <c r="A384" s="112" t="s">
        <v>1454</v>
      </c>
      <c r="B384" s="112">
        <v>13</v>
      </c>
      <c r="C384" s="115">
        <v>0.005660690622559741</v>
      </c>
      <c r="D384" s="112" t="s">
        <v>232</v>
      </c>
      <c r="E384" s="112" t="b">
        <v>0</v>
      </c>
      <c r="F384" s="112" t="b">
        <v>0</v>
      </c>
      <c r="G384" s="112" t="b">
        <v>0</v>
      </c>
    </row>
    <row r="385" spans="1:7" ht="15">
      <c r="A385" s="112" t="s">
        <v>287</v>
      </c>
      <c r="B385" s="112">
        <v>11</v>
      </c>
      <c r="C385" s="115">
        <v>0.005850406276155112</v>
      </c>
      <c r="D385" s="112" t="s">
        <v>232</v>
      </c>
      <c r="E385" s="112" t="b">
        <v>0</v>
      </c>
      <c r="F385" s="112" t="b">
        <v>0</v>
      </c>
      <c r="G385" s="112" t="b">
        <v>0</v>
      </c>
    </row>
    <row r="386" spans="1:7" ht="15">
      <c r="A386" s="112" t="s">
        <v>1455</v>
      </c>
      <c r="B386" s="112">
        <v>11</v>
      </c>
      <c r="C386" s="115">
        <v>0.008212083427700375</v>
      </c>
      <c r="D386" s="112" t="s">
        <v>232</v>
      </c>
      <c r="E386" s="112" t="b">
        <v>0</v>
      </c>
      <c r="F386" s="112" t="b">
        <v>0</v>
      </c>
      <c r="G386" s="112" t="b">
        <v>0</v>
      </c>
    </row>
    <row r="387" spans="1:7" ht="15">
      <c r="A387" s="112" t="s">
        <v>1458</v>
      </c>
      <c r="B387" s="112">
        <v>9</v>
      </c>
      <c r="C387" s="115">
        <v>0.005318958505854399</v>
      </c>
      <c r="D387" s="112" t="s">
        <v>232</v>
      </c>
      <c r="E387" s="112" t="b">
        <v>0</v>
      </c>
      <c r="F387" s="112" t="b">
        <v>0</v>
      </c>
      <c r="G387" s="112" t="b">
        <v>0</v>
      </c>
    </row>
    <row r="388" spans="1:7" ht="15">
      <c r="A388" s="112" t="s">
        <v>1457</v>
      </c>
      <c r="B388" s="112">
        <v>8</v>
      </c>
      <c r="C388" s="115">
        <v>0.006855383580371426</v>
      </c>
      <c r="D388" s="112" t="s">
        <v>232</v>
      </c>
      <c r="E388" s="112" t="b">
        <v>0</v>
      </c>
      <c r="F388" s="112" t="b">
        <v>0</v>
      </c>
      <c r="G388" s="112" t="b">
        <v>0</v>
      </c>
    </row>
    <row r="389" spans="1:7" ht="15">
      <c r="A389" s="112" t="s">
        <v>302</v>
      </c>
      <c r="B389" s="112">
        <v>8</v>
      </c>
      <c r="C389" s="115">
        <v>0.004727963116315022</v>
      </c>
      <c r="D389" s="112" t="s">
        <v>232</v>
      </c>
      <c r="E389" s="112" t="b">
        <v>0</v>
      </c>
      <c r="F389" s="112" t="b">
        <v>0</v>
      </c>
      <c r="G389" s="112" t="b">
        <v>0</v>
      </c>
    </row>
    <row r="390" spans="1:7" ht="15">
      <c r="A390" s="112" t="s">
        <v>1453</v>
      </c>
      <c r="B390" s="112">
        <v>7</v>
      </c>
      <c r="C390" s="115">
        <v>0.004626604407282157</v>
      </c>
      <c r="D390" s="112" t="s">
        <v>232</v>
      </c>
      <c r="E390" s="112" t="b">
        <v>1</v>
      </c>
      <c r="F390" s="112" t="b">
        <v>0</v>
      </c>
      <c r="G390" s="112" t="b">
        <v>0</v>
      </c>
    </row>
    <row r="391" spans="1:7" ht="15">
      <c r="A391" s="112" t="s">
        <v>1465</v>
      </c>
      <c r="B391" s="112">
        <v>6</v>
      </c>
      <c r="C391" s="115">
        <v>0.006074883581333417</v>
      </c>
      <c r="D391" s="112" t="s">
        <v>232</v>
      </c>
      <c r="E391" s="112" t="b">
        <v>0</v>
      </c>
      <c r="F391" s="112" t="b">
        <v>0</v>
      </c>
      <c r="G391" s="112" t="b">
        <v>0</v>
      </c>
    </row>
    <row r="392" spans="1:7" ht="15">
      <c r="A392" s="112" t="s">
        <v>1456</v>
      </c>
      <c r="B392" s="112">
        <v>6</v>
      </c>
      <c r="C392" s="115">
        <v>0.003965660920527564</v>
      </c>
      <c r="D392" s="112" t="s">
        <v>232</v>
      </c>
      <c r="E392" s="112" t="b">
        <v>0</v>
      </c>
      <c r="F392" s="112" t="b">
        <v>0</v>
      </c>
      <c r="G392" s="112" t="b">
        <v>0</v>
      </c>
    </row>
    <row r="393" spans="1:7" ht="15">
      <c r="A393" s="112" t="s">
        <v>1469</v>
      </c>
      <c r="B393" s="112">
        <v>6</v>
      </c>
      <c r="C393" s="115">
        <v>0.006074883581333417</v>
      </c>
      <c r="D393" s="112" t="s">
        <v>232</v>
      </c>
      <c r="E393" s="112" t="b">
        <v>0</v>
      </c>
      <c r="F393" s="112" t="b">
        <v>0</v>
      </c>
      <c r="G393" s="112" t="b">
        <v>0</v>
      </c>
    </row>
    <row r="394" spans="1:7" ht="15">
      <c r="A394" s="112" t="s">
        <v>293</v>
      </c>
      <c r="B394" s="112">
        <v>5</v>
      </c>
      <c r="C394" s="115">
        <v>0.0037327651944092616</v>
      </c>
      <c r="D394" s="112" t="s">
        <v>232</v>
      </c>
      <c r="E394" s="112" t="b">
        <v>0</v>
      </c>
      <c r="F394" s="112" t="b">
        <v>0</v>
      </c>
      <c r="G394" s="112" t="b">
        <v>0</v>
      </c>
    </row>
    <row r="395" spans="1:7" ht="15">
      <c r="A395" s="112" t="s">
        <v>1471</v>
      </c>
      <c r="B395" s="112">
        <v>5</v>
      </c>
      <c r="C395" s="115">
        <v>0.004284614737732142</v>
      </c>
      <c r="D395" s="112" t="s">
        <v>232</v>
      </c>
      <c r="E395" s="112" t="b">
        <v>0</v>
      </c>
      <c r="F395" s="112" t="b">
        <v>0</v>
      </c>
      <c r="G395" s="112" t="b">
        <v>0</v>
      </c>
    </row>
    <row r="396" spans="1:7" ht="15">
      <c r="A396" s="112" t="s">
        <v>1462</v>
      </c>
      <c r="B396" s="112">
        <v>5</v>
      </c>
      <c r="C396" s="115">
        <v>0.0037327651944092616</v>
      </c>
      <c r="D396" s="112" t="s">
        <v>232</v>
      </c>
      <c r="E396" s="112" t="b">
        <v>0</v>
      </c>
      <c r="F396" s="112" t="b">
        <v>0</v>
      </c>
      <c r="G396" s="112" t="b">
        <v>0</v>
      </c>
    </row>
    <row r="397" spans="1:7" ht="15">
      <c r="A397" s="112" t="s">
        <v>1495</v>
      </c>
      <c r="B397" s="112">
        <v>5</v>
      </c>
      <c r="C397" s="115">
        <v>0.006392040774479767</v>
      </c>
      <c r="D397" s="112" t="s">
        <v>232</v>
      </c>
      <c r="E397" s="112" t="b">
        <v>0</v>
      </c>
      <c r="F397" s="112" t="b">
        <v>0</v>
      </c>
      <c r="G397" s="112" t="b">
        <v>0</v>
      </c>
    </row>
    <row r="398" spans="1:7" ht="15">
      <c r="A398" s="112" t="s">
        <v>1496</v>
      </c>
      <c r="B398" s="112">
        <v>5</v>
      </c>
      <c r="C398" s="115">
        <v>0.006392040774479767</v>
      </c>
      <c r="D398" s="112" t="s">
        <v>232</v>
      </c>
      <c r="E398" s="112" t="b">
        <v>0</v>
      </c>
      <c r="F398" s="112" t="b">
        <v>0</v>
      </c>
      <c r="G398" s="112" t="b">
        <v>0</v>
      </c>
    </row>
    <row r="399" spans="1:7" ht="15">
      <c r="A399" s="112" t="s">
        <v>286</v>
      </c>
      <c r="B399" s="112">
        <v>4</v>
      </c>
      <c r="C399" s="115">
        <v>0.004049922387555611</v>
      </c>
      <c r="D399" s="112" t="s">
        <v>232</v>
      </c>
      <c r="E399" s="112" t="b">
        <v>0</v>
      </c>
      <c r="F399" s="112" t="b">
        <v>0</v>
      </c>
      <c r="G399" s="112" t="b">
        <v>0</v>
      </c>
    </row>
    <row r="400" spans="1:7" ht="15">
      <c r="A400" s="112" t="s">
        <v>1461</v>
      </c>
      <c r="B400" s="112">
        <v>4</v>
      </c>
      <c r="C400" s="115">
        <v>0.003427691790185713</v>
      </c>
      <c r="D400" s="112" t="s">
        <v>232</v>
      </c>
      <c r="E400" s="112" t="b">
        <v>0</v>
      </c>
      <c r="F400" s="112" t="b">
        <v>0</v>
      </c>
      <c r="G400" s="112" t="b">
        <v>0</v>
      </c>
    </row>
    <row r="401" spans="1:7" ht="15">
      <c r="A401" s="112" t="s">
        <v>314</v>
      </c>
      <c r="B401" s="112">
        <v>4</v>
      </c>
      <c r="C401" s="115">
        <v>0.0029862121555274093</v>
      </c>
      <c r="D401" s="112" t="s">
        <v>232</v>
      </c>
      <c r="E401" s="112" t="b">
        <v>0</v>
      </c>
      <c r="F401" s="112" t="b">
        <v>0</v>
      </c>
      <c r="G401" s="112" t="b">
        <v>0</v>
      </c>
    </row>
    <row r="402" spans="1:7" ht="15">
      <c r="A402" s="112" t="s">
        <v>1472</v>
      </c>
      <c r="B402" s="112">
        <v>4</v>
      </c>
      <c r="C402" s="115">
        <v>0.0029862121555274093</v>
      </c>
      <c r="D402" s="112" t="s">
        <v>232</v>
      </c>
      <c r="E402" s="112" t="b">
        <v>0</v>
      </c>
      <c r="F402" s="112" t="b">
        <v>0</v>
      </c>
      <c r="G402" s="112" t="b">
        <v>0</v>
      </c>
    </row>
    <row r="403" spans="1:7" ht="15">
      <c r="A403" s="112" t="s">
        <v>1460</v>
      </c>
      <c r="B403" s="112">
        <v>4</v>
      </c>
      <c r="C403" s="115">
        <v>0.003427691790185713</v>
      </c>
      <c r="D403" s="112" t="s">
        <v>232</v>
      </c>
      <c r="E403" s="112" t="b">
        <v>0</v>
      </c>
      <c r="F403" s="112" t="b">
        <v>0</v>
      </c>
      <c r="G403" s="112" t="b">
        <v>0</v>
      </c>
    </row>
    <row r="404" spans="1:7" ht="15">
      <c r="A404" s="112" t="s">
        <v>1521</v>
      </c>
      <c r="B404" s="112">
        <v>4</v>
      </c>
      <c r="C404" s="115">
        <v>0.004049922387555611</v>
      </c>
      <c r="D404" s="112" t="s">
        <v>232</v>
      </c>
      <c r="E404" s="112" t="b">
        <v>0</v>
      </c>
      <c r="F404" s="112" t="b">
        <v>0</v>
      </c>
      <c r="G404" s="112" t="b">
        <v>0</v>
      </c>
    </row>
    <row r="405" spans="1:7" ht="15">
      <c r="A405" s="112" t="s">
        <v>1481</v>
      </c>
      <c r="B405" s="112">
        <v>4</v>
      </c>
      <c r="C405" s="115">
        <v>0.004049922387555611</v>
      </c>
      <c r="D405" s="112" t="s">
        <v>232</v>
      </c>
      <c r="E405" s="112" t="b">
        <v>0</v>
      </c>
      <c r="F405" s="112" t="b">
        <v>0</v>
      </c>
      <c r="G405" s="112" t="b">
        <v>0</v>
      </c>
    </row>
    <row r="406" spans="1:7" ht="15">
      <c r="A406" s="112" t="s">
        <v>298</v>
      </c>
      <c r="B406" s="112">
        <v>4</v>
      </c>
      <c r="C406" s="115">
        <v>0.0029862121555274093</v>
      </c>
      <c r="D406" s="112" t="s">
        <v>232</v>
      </c>
      <c r="E406" s="112" t="b">
        <v>0</v>
      </c>
      <c r="F406" s="112" t="b">
        <v>0</v>
      </c>
      <c r="G406" s="112" t="b">
        <v>0</v>
      </c>
    </row>
    <row r="407" spans="1:7" ht="15">
      <c r="A407" s="112" t="s">
        <v>319</v>
      </c>
      <c r="B407" s="112">
        <v>4</v>
      </c>
      <c r="C407" s="115">
        <v>0.004049922387555611</v>
      </c>
      <c r="D407" s="112" t="s">
        <v>232</v>
      </c>
      <c r="E407" s="112" t="b">
        <v>0</v>
      </c>
      <c r="F407" s="112" t="b">
        <v>0</v>
      </c>
      <c r="G407" s="112" t="b">
        <v>0</v>
      </c>
    </row>
    <row r="408" spans="1:7" ht="15">
      <c r="A408" s="112" t="s">
        <v>1488</v>
      </c>
      <c r="B408" s="112">
        <v>3</v>
      </c>
      <c r="C408" s="115">
        <v>0.0030374417906667084</v>
      </c>
      <c r="D408" s="112" t="s">
        <v>232</v>
      </c>
      <c r="E408" s="112" t="b">
        <v>0</v>
      </c>
      <c r="F408" s="112" t="b">
        <v>0</v>
      </c>
      <c r="G408" s="112" t="b">
        <v>0</v>
      </c>
    </row>
    <row r="409" spans="1:7" ht="15">
      <c r="A409" s="112" t="s">
        <v>1564</v>
      </c>
      <c r="B409" s="112">
        <v>3</v>
      </c>
      <c r="C409" s="115">
        <v>0.0030374417906667084</v>
      </c>
      <c r="D409" s="112" t="s">
        <v>232</v>
      </c>
      <c r="E409" s="112" t="b">
        <v>0</v>
      </c>
      <c r="F409" s="112" t="b">
        <v>0</v>
      </c>
      <c r="G409" s="112" t="b">
        <v>0</v>
      </c>
    </row>
    <row r="410" spans="1:7" ht="15">
      <c r="A410" s="112" t="s">
        <v>1584</v>
      </c>
      <c r="B410" s="112">
        <v>3</v>
      </c>
      <c r="C410" s="115">
        <v>0.00383522446468786</v>
      </c>
      <c r="D410" s="112" t="s">
        <v>232</v>
      </c>
      <c r="E410" s="112" t="b">
        <v>0</v>
      </c>
      <c r="F410" s="112" t="b">
        <v>0</v>
      </c>
      <c r="G410" s="112" t="b">
        <v>0</v>
      </c>
    </row>
    <row r="411" spans="1:7" ht="15">
      <c r="A411" s="112" t="s">
        <v>1585</v>
      </c>
      <c r="B411" s="112">
        <v>3</v>
      </c>
      <c r="C411" s="115">
        <v>0.00383522446468786</v>
      </c>
      <c r="D411" s="112" t="s">
        <v>232</v>
      </c>
      <c r="E411" s="112" t="b">
        <v>0</v>
      </c>
      <c r="F411" s="112" t="b">
        <v>0</v>
      </c>
      <c r="G411" s="112" t="b">
        <v>0</v>
      </c>
    </row>
    <row r="412" spans="1:7" ht="15">
      <c r="A412" s="112" t="s">
        <v>1586</v>
      </c>
      <c r="B412" s="112">
        <v>3</v>
      </c>
      <c r="C412" s="115">
        <v>0.00383522446468786</v>
      </c>
      <c r="D412" s="112" t="s">
        <v>232</v>
      </c>
      <c r="E412" s="112" t="b">
        <v>0</v>
      </c>
      <c r="F412" s="112" t="b">
        <v>0</v>
      </c>
      <c r="G412" s="112" t="b">
        <v>0</v>
      </c>
    </row>
    <row r="413" spans="1:7" ht="15">
      <c r="A413" s="112" t="s">
        <v>1514</v>
      </c>
      <c r="B413" s="112">
        <v>3</v>
      </c>
      <c r="C413" s="115">
        <v>0.0030374417906667084</v>
      </c>
      <c r="D413" s="112" t="s">
        <v>232</v>
      </c>
      <c r="E413" s="112" t="b">
        <v>0</v>
      </c>
      <c r="F413" s="112" t="b">
        <v>0</v>
      </c>
      <c r="G413" s="112" t="b">
        <v>0</v>
      </c>
    </row>
    <row r="414" spans="1:7" ht="15">
      <c r="A414" s="112" t="s">
        <v>1464</v>
      </c>
      <c r="B414" s="112">
        <v>3</v>
      </c>
      <c r="C414" s="115">
        <v>0.002570768842639285</v>
      </c>
      <c r="D414" s="112" t="s">
        <v>232</v>
      </c>
      <c r="E414" s="112" t="b">
        <v>0</v>
      </c>
      <c r="F414" s="112" t="b">
        <v>0</v>
      </c>
      <c r="G414" s="112" t="b">
        <v>0</v>
      </c>
    </row>
    <row r="415" spans="1:7" ht="15">
      <c r="A415" s="112" t="s">
        <v>1473</v>
      </c>
      <c r="B415" s="112">
        <v>3</v>
      </c>
      <c r="C415" s="115">
        <v>0.002570768842639285</v>
      </c>
      <c r="D415" s="112" t="s">
        <v>232</v>
      </c>
      <c r="E415" s="112" t="b">
        <v>0</v>
      </c>
      <c r="F415" s="112" t="b">
        <v>0</v>
      </c>
      <c r="G415" s="112" t="b">
        <v>0</v>
      </c>
    </row>
    <row r="416" spans="1:7" ht="15">
      <c r="A416" s="112" t="s">
        <v>1587</v>
      </c>
      <c r="B416" s="112">
        <v>3</v>
      </c>
      <c r="C416" s="115">
        <v>0.002570768842639285</v>
      </c>
      <c r="D416" s="112" t="s">
        <v>232</v>
      </c>
      <c r="E416" s="112" t="b">
        <v>0</v>
      </c>
      <c r="F416" s="112" t="b">
        <v>0</v>
      </c>
      <c r="G416" s="112" t="b">
        <v>0</v>
      </c>
    </row>
    <row r="417" spans="1:7" ht="15">
      <c r="A417" s="112" t="s">
        <v>1588</v>
      </c>
      <c r="B417" s="112">
        <v>3</v>
      </c>
      <c r="C417" s="115">
        <v>0.002570768842639285</v>
      </c>
      <c r="D417" s="112" t="s">
        <v>232</v>
      </c>
      <c r="E417" s="112" t="b">
        <v>0</v>
      </c>
      <c r="F417" s="112" t="b">
        <v>0</v>
      </c>
      <c r="G417" s="112" t="b">
        <v>0</v>
      </c>
    </row>
    <row r="418" spans="1:7" ht="15">
      <c r="A418" s="112" t="s">
        <v>1475</v>
      </c>
      <c r="B418" s="112">
        <v>3</v>
      </c>
      <c r="C418" s="115">
        <v>0.0030374417906667084</v>
      </c>
      <c r="D418" s="112" t="s">
        <v>232</v>
      </c>
      <c r="E418" s="112" t="b">
        <v>1</v>
      </c>
      <c r="F418" s="112" t="b">
        <v>0</v>
      </c>
      <c r="G418" s="112" t="b">
        <v>0</v>
      </c>
    </row>
    <row r="419" spans="1:7" ht="15">
      <c r="A419" s="112" t="s">
        <v>1589</v>
      </c>
      <c r="B419" s="112">
        <v>3</v>
      </c>
      <c r="C419" s="115">
        <v>0.00383522446468786</v>
      </c>
      <c r="D419" s="112" t="s">
        <v>232</v>
      </c>
      <c r="E419" s="112" t="b">
        <v>0</v>
      </c>
      <c r="F419" s="112" t="b">
        <v>0</v>
      </c>
      <c r="G419" s="112" t="b">
        <v>0</v>
      </c>
    </row>
    <row r="420" spans="1:7" ht="15">
      <c r="A420" s="112" t="s">
        <v>292</v>
      </c>
      <c r="B420" s="112">
        <v>3</v>
      </c>
      <c r="C420" s="115">
        <v>0.0030374417906667084</v>
      </c>
      <c r="D420" s="112" t="s">
        <v>232</v>
      </c>
      <c r="E420" s="112" t="b">
        <v>0</v>
      </c>
      <c r="F420" s="112" t="b">
        <v>0</v>
      </c>
      <c r="G420" s="112" t="b">
        <v>0</v>
      </c>
    </row>
    <row r="421" spans="1:7" ht="15">
      <c r="A421" s="112" t="s">
        <v>1494</v>
      </c>
      <c r="B421" s="112">
        <v>3</v>
      </c>
      <c r="C421" s="115">
        <v>0.002570768842639285</v>
      </c>
      <c r="D421" s="112" t="s">
        <v>232</v>
      </c>
      <c r="E421" s="112" t="b">
        <v>1</v>
      </c>
      <c r="F421" s="112" t="b">
        <v>0</v>
      </c>
      <c r="G421" s="112" t="b">
        <v>0</v>
      </c>
    </row>
    <row r="422" spans="1:7" ht="15">
      <c r="A422" s="112" t="s">
        <v>1477</v>
      </c>
      <c r="B422" s="112">
        <v>3</v>
      </c>
      <c r="C422" s="115">
        <v>0.0030374417906667084</v>
      </c>
      <c r="D422" s="112" t="s">
        <v>232</v>
      </c>
      <c r="E422" s="112" t="b">
        <v>1</v>
      </c>
      <c r="F422" s="112" t="b">
        <v>0</v>
      </c>
      <c r="G422" s="112" t="b">
        <v>0</v>
      </c>
    </row>
    <row r="423" spans="1:7" ht="15">
      <c r="A423" s="112" t="s">
        <v>1590</v>
      </c>
      <c r="B423" s="112">
        <v>3</v>
      </c>
      <c r="C423" s="115">
        <v>0.002570768842639285</v>
      </c>
      <c r="D423" s="112" t="s">
        <v>232</v>
      </c>
      <c r="E423" s="112" t="b">
        <v>0</v>
      </c>
      <c r="F423" s="112" t="b">
        <v>0</v>
      </c>
      <c r="G423" s="112" t="b">
        <v>0</v>
      </c>
    </row>
    <row r="424" spans="1:7" ht="15">
      <c r="A424" s="112" t="s">
        <v>1497</v>
      </c>
      <c r="B424" s="112">
        <v>3</v>
      </c>
      <c r="C424" s="115">
        <v>0.00383522446468786</v>
      </c>
      <c r="D424" s="112" t="s">
        <v>232</v>
      </c>
      <c r="E424" s="112" t="b">
        <v>0</v>
      </c>
      <c r="F424" s="112" t="b">
        <v>0</v>
      </c>
      <c r="G424" s="112" t="b">
        <v>0</v>
      </c>
    </row>
    <row r="425" spans="1:7" ht="15">
      <c r="A425" s="112" t="s">
        <v>289</v>
      </c>
      <c r="B425" s="112">
        <v>3</v>
      </c>
      <c r="C425" s="115">
        <v>0.0030374417906667084</v>
      </c>
      <c r="D425" s="112" t="s">
        <v>232</v>
      </c>
      <c r="E425" s="112" t="b">
        <v>0</v>
      </c>
      <c r="F425" s="112" t="b">
        <v>0</v>
      </c>
      <c r="G425" s="112" t="b">
        <v>0</v>
      </c>
    </row>
    <row r="426" spans="1:7" ht="15">
      <c r="A426" s="112" t="s">
        <v>1591</v>
      </c>
      <c r="B426" s="112">
        <v>3</v>
      </c>
      <c r="C426" s="115">
        <v>0.00383522446468786</v>
      </c>
      <c r="D426" s="112" t="s">
        <v>232</v>
      </c>
      <c r="E426" s="112" t="b">
        <v>0</v>
      </c>
      <c r="F426" s="112" t="b">
        <v>0</v>
      </c>
      <c r="G426" s="112" t="b">
        <v>0</v>
      </c>
    </row>
    <row r="427" spans="1:7" ht="15">
      <c r="A427" s="112" t="s">
        <v>1592</v>
      </c>
      <c r="B427" s="112">
        <v>3</v>
      </c>
      <c r="C427" s="115">
        <v>0.00383522446468786</v>
      </c>
      <c r="D427" s="112" t="s">
        <v>232</v>
      </c>
      <c r="E427" s="112" t="b">
        <v>0</v>
      </c>
      <c r="F427" s="112" t="b">
        <v>0</v>
      </c>
      <c r="G427" s="112" t="b">
        <v>0</v>
      </c>
    </row>
    <row r="428" spans="1:7" ht="15">
      <c r="A428" s="112" t="s">
        <v>1593</v>
      </c>
      <c r="B428" s="112">
        <v>3</v>
      </c>
      <c r="C428" s="115">
        <v>0.00383522446468786</v>
      </c>
      <c r="D428" s="112" t="s">
        <v>232</v>
      </c>
      <c r="E428" s="112" t="b">
        <v>0</v>
      </c>
      <c r="F428" s="112" t="b">
        <v>0</v>
      </c>
      <c r="G428" s="112" t="b">
        <v>0</v>
      </c>
    </row>
    <row r="429" spans="1:7" ht="15">
      <c r="A429" s="112" t="s">
        <v>1487</v>
      </c>
      <c r="B429" s="112">
        <v>3</v>
      </c>
      <c r="C429" s="115">
        <v>0.00383522446468786</v>
      </c>
      <c r="D429" s="112" t="s">
        <v>232</v>
      </c>
      <c r="E429" s="112" t="b">
        <v>0</v>
      </c>
      <c r="F429" s="112" t="b">
        <v>0</v>
      </c>
      <c r="G429" s="112" t="b">
        <v>0</v>
      </c>
    </row>
    <row r="430" spans="1:7" ht="15">
      <c r="A430" s="112" t="s">
        <v>1662</v>
      </c>
      <c r="B430" s="112">
        <v>2</v>
      </c>
      <c r="C430" s="115">
        <v>0.0025568163097919065</v>
      </c>
      <c r="D430" s="112" t="s">
        <v>232</v>
      </c>
      <c r="E430" s="112" t="b">
        <v>0</v>
      </c>
      <c r="F430" s="112" t="b">
        <v>0</v>
      </c>
      <c r="G430" s="112" t="b">
        <v>0</v>
      </c>
    </row>
    <row r="431" spans="1:7" ht="15">
      <c r="A431" s="112" t="s">
        <v>1565</v>
      </c>
      <c r="B431" s="112">
        <v>2</v>
      </c>
      <c r="C431" s="115">
        <v>0.0025568163097919065</v>
      </c>
      <c r="D431" s="112" t="s">
        <v>232</v>
      </c>
      <c r="E431" s="112" t="b">
        <v>0</v>
      </c>
      <c r="F431" s="112" t="b">
        <v>0</v>
      </c>
      <c r="G431" s="112" t="b">
        <v>0</v>
      </c>
    </row>
    <row r="432" spans="1:7" ht="15">
      <c r="A432" s="112" t="s">
        <v>1663</v>
      </c>
      <c r="B432" s="112">
        <v>2</v>
      </c>
      <c r="C432" s="115">
        <v>0.0025568163097919065</v>
      </c>
      <c r="D432" s="112" t="s">
        <v>232</v>
      </c>
      <c r="E432" s="112" t="b">
        <v>0</v>
      </c>
      <c r="F432" s="112" t="b">
        <v>0</v>
      </c>
      <c r="G432" s="112" t="b">
        <v>0</v>
      </c>
    </row>
    <row r="433" spans="1:7" ht="15">
      <c r="A433" s="112" t="s">
        <v>1664</v>
      </c>
      <c r="B433" s="112">
        <v>2</v>
      </c>
      <c r="C433" s="115">
        <v>0.0025568163097919065</v>
      </c>
      <c r="D433" s="112" t="s">
        <v>232</v>
      </c>
      <c r="E433" s="112" t="b">
        <v>0</v>
      </c>
      <c r="F433" s="112" t="b">
        <v>0</v>
      </c>
      <c r="G433" s="112" t="b">
        <v>0</v>
      </c>
    </row>
    <row r="434" spans="1:7" ht="15">
      <c r="A434" s="112" t="s">
        <v>1720</v>
      </c>
      <c r="B434" s="112">
        <v>2</v>
      </c>
      <c r="C434" s="115">
        <v>0.0025568163097919065</v>
      </c>
      <c r="D434" s="112" t="s">
        <v>232</v>
      </c>
      <c r="E434" s="112" t="b">
        <v>0</v>
      </c>
      <c r="F434" s="112" t="b">
        <v>0</v>
      </c>
      <c r="G434" s="112" t="b">
        <v>0</v>
      </c>
    </row>
    <row r="435" spans="1:7" ht="15">
      <c r="A435" s="112" t="s">
        <v>1721</v>
      </c>
      <c r="B435" s="112">
        <v>2</v>
      </c>
      <c r="C435" s="115">
        <v>0.0025568163097919065</v>
      </c>
      <c r="D435" s="112" t="s">
        <v>232</v>
      </c>
      <c r="E435" s="112" t="b">
        <v>0</v>
      </c>
      <c r="F435" s="112" t="b">
        <v>0</v>
      </c>
      <c r="G435" s="112" t="b">
        <v>0</v>
      </c>
    </row>
    <row r="436" spans="1:7" ht="15">
      <c r="A436" s="112" t="s">
        <v>291</v>
      </c>
      <c r="B436" s="112">
        <v>2</v>
      </c>
      <c r="C436" s="115">
        <v>0.0025568163097919065</v>
      </c>
      <c r="D436" s="112" t="s">
        <v>232</v>
      </c>
      <c r="E436" s="112" t="b">
        <v>0</v>
      </c>
      <c r="F436" s="112" t="b">
        <v>0</v>
      </c>
      <c r="G436" s="112" t="b">
        <v>0</v>
      </c>
    </row>
    <row r="437" spans="1:7" ht="15">
      <c r="A437" s="112" t="s">
        <v>1722</v>
      </c>
      <c r="B437" s="112">
        <v>2</v>
      </c>
      <c r="C437" s="115">
        <v>0.0025568163097919065</v>
      </c>
      <c r="D437" s="112" t="s">
        <v>232</v>
      </c>
      <c r="E437" s="112" t="b">
        <v>0</v>
      </c>
      <c r="F437" s="112" t="b">
        <v>0</v>
      </c>
      <c r="G437" s="112" t="b">
        <v>0</v>
      </c>
    </row>
    <row r="438" spans="1:7" ht="15">
      <c r="A438" s="112" t="s">
        <v>1723</v>
      </c>
      <c r="B438" s="112">
        <v>2</v>
      </c>
      <c r="C438" s="115">
        <v>0.0025568163097919065</v>
      </c>
      <c r="D438" s="112" t="s">
        <v>232</v>
      </c>
      <c r="E438" s="112" t="b">
        <v>0</v>
      </c>
      <c r="F438" s="112" t="b">
        <v>0</v>
      </c>
      <c r="G438" s="112" t="b">
        <v>0</v>
      </c>
    </row>
    <row r="439" spans="1:7" ht="15">
      <c r="A439" s="112" t="s">
        <v>1724</v>
      </c>
      <c r="B439" s="112">
        <v>2</v>
      </c>
      <c r="C439" s="115">
        <v>0.0025568163097919065</v>
      </c>
      <c r="D439" s="112" t="s">
        <v>232</v>
      </c>
      <c r="E439" s="112" t="b">
        <v>0</v>
      </c>
      <c r="F439" s="112" t="b">
        <v>0</v>
      </c>
      <c r="G439" s="112" t="b">
        <v>0</v>
      </c>
    </row>
    <row r="440" spans="1:7" ht="15">
      <c r="A440" s="112" t="s">
        <v>1725</v>
      </c>
      <c r="B440" s="112">
        <v>2</v>
      </c>
      <c r="C440" s="115">
        <v>0.0025568163097919065</v>
      </c>
      <c r="D440" s="112" t="s">
        <v>232</v>
      </c>
      <c r="E440" s="112" t="b">
        <v>0</v>
      </c>
      <c r="F440" s="112" t="b">
        <v>0</v>
      </c>
      <c r="G440" s="112" t="b">
        <v>0</v>
      </c>
    </row>
    <row r="441" spans="1:7" ht="15">
      <c r="A441" s="112" t="s">
        <v>1581</v>
      </c>
      <c r="B441" s="112">
        <v>2</v>
      </c>
      <c r="C441" s="115">
        <v>0.0025568163097919065</v>
      </c>
      <c r="D441" s="112" t="s">
        <v>232</v>
      </c>
      <c r="E441" s="112" t="b">
        <v>0</v>
      </c>
      <c r="F441" s="112" t="b">
        <v>0</v>
      </c>
      <c r="G441" s="112" t="b">
        <v>0</v>
      </c>
    </row>
    <row r="442" spans="1:7" ht="15">
      <c r="A442" s="112" t="s">
        <v>1726</v>
      </c>
      <c r="B442" s="112">
        <v>2</v>
      </c>
      <c r="C442" s="115">
        <v>0.0025568163097919065</v>
      </c>
      <c r="D442" s="112" t="s">
        <v>232</v>
      </c>
      <c r="E442" s="112" t="b">
        <v>0</v>
      </c>
      <c r="F442" s="112" t="b">
        <v>1</v>
      </c>
      <c r="G442" s="112" t="b">
        <v>0</v>
      </c>
    </row>
    <row r="443" spans="1:7" ht="15">
      <c r="A443" s="112" t="s">
        <v>1727</v>
      </c>
      <c r="B443" s="112">
        <v>2</v>
      </c>
      <c r="C443" s="115">
        <v>0.0020249611937778055</v>
      </c>
      <c r="D443" s="112" t="s">
        <v>232</v>
      </c>
      <c r="E443" s="112" t="b">
        <v>1</v>
      </c>
      <c r="F443" s="112" t="b">
        <v>0</v>
      </c>
      <c r="G443" s="112" t="b">
        <v>0</v>
      </c>
    </row>
    <row r="444" spans="1:7" ht="15">
      <c r="A444" s="112" t="s">
        <v>1728</v>
      </c>
      <c r="B444" s="112">
        <v>2</v>
      </c>
      <c r="C444" s="115">
        <v>0.0025568163097919065</v>
      </c>
      <c r="D444" s="112" t="s">
        <v>232</v>
      </c>
      <c r="E444" s="112" t="b">
        <v>0</v>
      </c>
      <c r="F444" s="112" t="b">
        <v>0</v>
      </c>
      <c r="G444" s="112" t="b">
        <v>0</v>
      </c>
    </row>
    <row r="445" spans="1:7" ht="15">
      <c r="A445" s="112" t="s">
        <v>1729</v>
      </c>
      <c r="B445" s="112">
        <v>2</v>
      </c>
      <c r="C445" s="115">
        <v>0.0025568163097919065</v>
      </c>
      <c r="D445" s="112" t="s">
        <v>232</v>
      </c>
      <c r="E445" s="112" t="b">
        <v>0</v>
      </c>
      <c r="F445" s="112" t="b">
        <v>0</v>
      </c>
      <c r="G445" s="112" t="b">
        <v>0</v>
      </c>
    </row>
    <row r="446" spans="1:7" ht="15">
      <c r="A446" s="112" t="s">
        <v>1730</v>
      </c>
      <c r="B446" s="112">
        <v>2</v>
      </c>
      <c r="C446" s="115">
        <v>0.0025568163097919065</v>
      </c>
      <c r="D446" s="112" t="s">
        <v>232</v>
      </c>
      <c r="E446" s="112" t="b">
        <v>0</v>
      </c>
      <c r="F446" s="112" t="b">
        <v>0</v>
      </c>
      <c r="G446" s="112" t="b">
        <v>0</v>
      </c>
    </row>
    <row r="447" spans="1:7" ht="15">
      <c r="A447" s="112" t="s">
        <v>1731</v>
      </c>
      <c r="B447" s="112">
        <v>2</v>
      </c>
      <c r="C447" s="115">
        <v>0.0025568163097919065</v>
      </c>
      <c r="D447" s="112" t="s">
        <v>232</v>
      </c>
      <c r="E447" s="112" t="b">
        <v>0</v>
      </c>
      <c r="F447" s="112" t="b">
        <v>0</v>
      </c>
      <c r="G447" s="112" t="b">
        <v>0</v>
      </c>
    </row>
    <row r="448" spans="1:7" ht="15">
      <c r="A448" s="112" t="s">
        <v>1732</v>
      </c>
      <c r="B448" s="112">
        <v>2</v>
      </c>
      <c r="C448" s="115">
        <v>0.0025568163097919065</v>
      </c>
      <c r="D448" s="112" t="s">
        <v>232</v>
      </c>
      <c r="E448" s="112" t="b">
        <v>0</v>
      </c>
      <c r="F448" s="112" t="b">
        <v>0</v>
      </c>
      <c r="G448" s="112" t="b">
        <v>0</v>
      </c>
    </row>
    <row r="449" spans="1:7" ht="15">
      <c r="A449" s="112" t="s">
        <v>1733</v>
      </c>
      <c r="B449" s="112">
        <v>2</v>
      </c>
      <c r="C449" s="115">
        <v>0.0025568163097919065</v>
      </c>
      <c r="D449" s="112" t="s">
        <v>232</v>
      </c>
      <c r="E449" s="112" t="b">
        <v>0</v>
      </c>
      <c r="F449" s="112" t="b">
        <v>0</v>
      </c>
      <c r="G449" s="112" t="b">
        <v>0</v>
      </c>
    </row>
    <row r="450" spans="1:7" ht="15">
      <c r="A450" s="112" t="s">
        <v>1734</v>
      </c>
      <c r="B450" s="112">
        <v>2</v>
      </c>
      <c r="C450" s="115">
        <v>0.0020249611937778055</v>
      </c>
      <c r="D450" s="112" t="s">
        <v>232</v>
      </c>
      <c r="E450" s="112" t="b">
        <v>0</v>
      </c>
      <c r="F450" s="112" t="b">
        <v>0</v>
      </c>
      <c r="G450" s="112" t="b">
        <v>0</v>
      </c>
    </row>
    <row r="451" spans="1:7" ht="15">
      <c r="A451" s="112" t="s">
        <v>1492</v>
      </c>
      <c r="B451" s="112">
        <v>2</v>
      </c>
      <c r="C451" s="115">
        <v>0.0020249611937778055</v>
      </c>
      <c r="D451" s="112" t="s">
        <v>232</v>
      </c>
      <c r="E451" s="112" t="b">
        <v>0</v>
      </c>
      <c r="F451" s="112" t="b">
        <v>0</v>
      </c>
      <c r="G451" s="112" t="b">
        <v>0</v>
      </c>
    </row>
    <row r="452" spans="1:7" ht="15">
      <c r="A452" s="112" t="s">
        <v>1483</v>
      </c>
      <c r="B452" s="112">
        <v>2</v>
      </c>
      <c r="C452" s="115">
        <v>0.0020249611937778055</v>
      </c>
      <c r="D452" s="112" t="s">
        <v>232</v>
      </c>
      <c r="E452" s="112" t="b">
        <v>0</v>
      </c>
      <c r="F452" s="112" t="b">
        <v>0</v>
      </c>
      <c r="G452" s="112" t="b">
        <v>0</v>
      </c>
    </row>
    <row r="453" spans="1:7" ht="15">
      <c r="A453" s="112" t="s">
        <v>1489</v>
      </c>
      <c r="B453" s="112">
        <v>2</v>
      </c>
      <c r="C453" s="115">
        <v>0.0020249611937778055</v>
      </c>
      <c r="D453" s="112" t="s">
        <v>232</v>
      </c>
      <c r="E453" s="112" t="b">
        <v>0</v>
      </c>
      <c r="F453" s="112" t="b">
        <v>0</v>
      </c>
      <c r="G453" s="112" t="b">
        <v>0</v>
      </c>
    </row>
    <row r="454" spans="1:7" ht="15">
      <c r="A454" s="112" t="s">
        <v>294</v>
      </c>
      <c r="B454" s="112">
        <v>2</v>
      </c>
      <c r="C454" s="115">
        <v>0.0020249611937778055</v>
      </c>
      <c r="D454" s="112" t="s">
        <v>232</v>
      </c>
      <c r="E454" s="112" t="b">
        <v>0</v>
      </c>
      <c r="F454" s="112" t="b">
        <v>0</v>
      </c>
      <c r="G454" s="112" t="b">
        <v>0</v>
      </c>
    </row>
    <row r="455" spans="1:7" ht="15">
      <c r="A455" s="112" t="s">
        <v>1544</v>
      </c>
      <c r="B455" s="112">
        <v>2</v>
      </c>
      <c r="C455" s="115">
        <v>0.0020249611937778055</v>
      </c>
      <c r="D455" s="112" t="s">
        <v>232</v>
      </c>
      <c r="E455" s="112" t="b">
        <v>0</v>
      </c>
      <c r="F455" s="112" t="b">
        <v>0</v>
      </c>
      <c r="G455" s="112" t="b">
        <v>0</v>
      </c>
    </row>
    <row r="456" spans="1:7" ht="15">
      <c r="A456" s="112" t="s">
        <v>1555</v>
      </c>
      <c r="B456" s="112">
        <v>2</v>
      </c>
      <c r="C456" s="115">
        <v>0.0020249611937778055</v>
      </c>
      <c r="D456" s="112" t="s">
        <v>232</v>
      </c>
      <c r="E456" s="112" t="b">
        <v>0</v>
      </c>
      <c r="F456" s="112" t="b">
        <v>0</v>
      </c>
      <c r="G456" s="112" t="b">
        <v>0</v>
      </c>
    </row>
    <row r="457" spans="1:7" ht="15">
      <c r="A457" s="112" t="s">
        <v>303</v>
      </c>
      <c r="B457" s="112">
        <v>2</v>
      </c>
      <c r="C457" s="115">
        <v>0.0020249611937778055</v>
      </c>
      <c r="D457" s="112" t="s">
        <v>232</v>
      </c>
      <c r="E457" s="112" t="b">
        <v>0</v>
      </c>
      <c r="F457" s="112" t="b">
        <v>0</v>
      </c>
      <c r="G457" s="112" t="b">
        <v>0</v>
      </c>
    </row>
    <row r="458" spans="1:7" ht="15">
      <c r="A458" s="112" t="s">
        <v>1735</v>
      </c>
      <c r="B458" s="112">
        <v>2</v>
      </c>
      <c r="C458" s="115">
        <v>0.0025568163097919065</v>
      </c>
      <c r="D458" s="112" t="s">
        <v>232</v>
      </c>
      <c r="E458" s="112" t="b">
        <v>0</v>
      </c>
      <c r="F458" s="112" t="b">
        <v>0</v>
      </c>
      <c r="G458" s="112" t="b">
        <v>0</v>
      </c>
    </row>
    <row r="459" spans="1:7" ht="15">
      <c r="A459" s="112" t="s">
        <v>1736</v>
      </c>
      <c r="B459" s="112">
        <v>2</v>
      </c>
      <c r="C459" s="115">
        <v>0.0025568163097919065</v>
      </c>
      <c r="D459" s="112" t="s">
        <v>232</v>
      </c>
      <c r="E459" s="112" t="b">
        <v>0</v>
      </c>
      <c r="F459" s="112" t="b">
        <v>0</v>
      </c>
      <c r="G459" s="112" t="b">
        <v>0</v>
      </c>
    </row>
    <row r="460" spans="1:7" ht="15">
      <c r="A460" s="112" t="s">
        <v>1486</v>
      </c>
      <c r="B460" s="112">
        <v>2</v>
      </c>
      <c r="C460" s="115">
        <v>0.0020249611937778055</v>
      </c>
      <c r="D460" s="112" t="s">
        <v>232</v>
      </c>
      <c r="E460" s="112" t="b">
        <v>0</v>
      </c>
      <c r="F460" s="112" t="b">
        <v>0</v>
      </c>
      <c r="G460" s="112" t="b">
        <v>0</v>
      </c>
    </row>
    <row r="461" spans="1:7" ht="15">
      <c r="A461" s="112" t="s">
        <v>1554</v>
      </c>
      <c r="B461" s="112">
        <v>2</v>
      </c>
      <c r="C461" s="115">
        <v>0.0020249611937778055</v>
      </c>
      <c r="D461" s="112" t="s">
        <v>232</v>
      </c>
      <c r="E461" s="112" t="b">
        <v>0</v>
      </c>
      <c r="F461" s="112" t="b">
        <v>0</v>
      </c>
      <c r="G461" s="112" t="b">
        <v>0</v>
      </c>
    </row>
    <row r="462" spans="1:7" ht="15">
      <c r="A462" s="112" t="s">
        <v>1737</v>
      </c>
      <c r="B462" s="112">
        <v>2</v>
      </c>
      <c r="C462" s="115">
        <v>0.0020249611937778055</v>
      </c>
      <c r="D462" s="112" t="s">
        <v>232</v>
      </c>
      <c r="E462" s="112" t="b">
        <v>0</v>
      </c>
      <c r="F462" s="112" t="b">
        <v>0</v>
      </c>
      <c r="G462" s="112" t="b">
        <v>0</v>
      </c>
    </row>
    <row r="463" spans="1:7" ht="15">
      <c r="A463" s="112" t="s">
        <v>1574</v>
      </c>
      <c r="B463" s="112">
        <v>2</v>
      </c>
      <c r="C463" s="115">
        <v>0.0025568163097919065</v>
      </c>
      <c r="D463" s="112" t="s">
        <v>232</v>
      </c>
      <c r="E463" s="112" t="b">
        <v>0</v>
      </c>
      <c r="F463" s="112" t="b">
        <v>0</v>
      </c>
      <c r="G463" s="112" t="b">
        <v>0</v>
      </c>
    </row>
    <row r="464" spans="1:7" ht="15">
      <c r="A464" s="112" t="s">
        <v>1738</v>
      </c>
      <c r="B464" s="112">
        <v>2</v>
      </c>
      <c r="C464" s="115">
        <v>0.0025568163097919065</v>
      </c>
      <c r="D464" s="112" t="s">
        <v>232</v>
      </c>
      <c r="E464" s="112" t="b">
        <v>0</v>
      </c>
      <c r="F464" s="112" t="b">
        <v>0</v>
      </c>
      <c r="G464" s="112" t="b">
        <v>0</v>
      </c>
    </row>
    <row r="465" spans="1:7" ht="15">
      <c r="A465" s="112" t="s">
        <v>1739</v>
      </c>
      <c r="B465" s="112">
        <v>2</v>
      </c>
      <c r="C465" s="115">
        <v>0.0025568163097919065</v>
      </c>
      <c r="D465" s="112" t="s">
        <v>232</v>
      </c>
      <c r="E465" s="112" t="b">
        <v>0</v>
      </c>
      <c r="F465" s="112" t="b">
        <v>0</v>
      </c>
      <c r="G465" s="112" t="b">
        <v>0</v>
      </c>
    </row>
    <row r="466" spans="1:7" ht="15">
      <c r="A466" s="112" t="s">
        <v>1573</v>
      </c>
      <c r="B466" s="112">
        <v>2</v>
      </c>
      <c r="C466" s="115">
        <v>0.0020249611937778055</v>
      </c>
      <c r="D466" s="112" t="s">
        <v>232</v>
      </c>
      <c r="E466" s="112" t="b">
        <v>0</v>
      </c>
      <c r="F466" s="112" t="b">
        <v>0</v>
      </c>
      <c r="G466" s="112" t="b">
        <v>0</v>
      </c>
    </row>
    <row r="467" spans="1:7" ht="15">
      <c r="A467" s="112" t="s">
        <v>1513</v>
      </c>
      <c r="B467" s="112">
        <v>2</v>
      </c>
      <c r="C467" s="115">
        <v>0.0020249611937778055</v>
      </c>
      <c r="D467" s="112" t="s">
        <v>232</v>
      </c>
      <c r="E467" s="112" t="b">
        <v>0</v>
      </c>
      <c r="F467" s="112" t="b">
        <v>0</v>
      </c>
      <c r="G467" s="112" t="b">
        <v>0</v>
      </c>
    </row>
    <row r="468" spans="1:7" ht="15">
      <c r="A468" s="112" t="s">
        <v>1580</v>
      </c>
      <c r="B468" s="112">
        <v>2</v>
      </c>
      <c r="C468" s="115">
        <v>0.0025568163097919065</v>
      </c>
      <c r="D468" s="112" t="s">
        <v>232</v>
      </c>
      <c r="E468" s="112" t="b">
        <v>0</v>
      </c>
      <c r="F468" s="112" t="b">
        <v>0</v>
      </c>
      <c r="G468" s="112" t="b">
        <v>0</v>
      </c>
    </row>
    <row r="469" spans="1:7" ht="15">
      <c r="A469" s="112" t="s">
        <v>321</v>
      </c>
      <c r="B469" s="112">
        <v>2</v>
      </c>
      <c r="C469" s="115">
        <v>0.0020249611937778055</v>
      </c>
      <c r="D469" s="112" t="s">
        <v>232</v>
      </c>
      <c r="E469" s="112" t="b">
        <v>0</v>
      </c>
      <c r="F469" s="112" t="b">
        <v>0</v>
      </c>
      <c r="G469" s="112" t="b">
        <v>0</v>
      </c>
    </row>
    <row r="470" spans="1:7" ht="15">
      <c r="A470" s="112" t="s">
        <v>1740</v>
      </c>
      <c r="B470" s="112">
        <v>2</v>
      </c>
      <c r="C470" s="115">
        <v>0.0025568163097919065</v>
      </c>
      <c r="D470" s="112" t="s">
        <v>232</v>
      </c>
      <c r="E470" s="112" t="b">
        <v>0</v>
      </c>
      <c r="F470" s="112" t="b">
        <v>0</v>
      </c>
      <c r="G470" s="112" t="b">
        <v>0</v>
      </c>
    </row>
    <row r="471" spans="1:7" ht="15">
      <c r="A471" s="112" t="s">
        <v>1562</v>
      </c>
      <c r="B471" s="112">
        <v>2</v>
      </c>
      <c r="C471" s="115">
        <v>0.0020249611937778055</v>
      </c>
      <c r="D471" s="112" t="s">
        <v>232</v>
      </c>
      <c r="E471" s="112" t="b">
        <v>0</v>
      </c>
      <c r="F471" s="112" t="b">
        <v>0</v>
      </c>
      <c r="G471" s="112" t="b">
        <v>0</v>
      </c>
    </row>
    <row r="472" spans="1:7" ht="15">
      <c r="A472" s="112" t="s">
        <v>1583</v>
      </c>
      <c r="B472" s="112">
        <v>2</v>
      </c>
      <c r="C472" s="115">
        <v>0.0020249611937778055</v>
      </c>
      <c r="D472" s="112" t="s">
        <v>232</v>
      </c>
      <c r="E472" s="112" t="b">
        <v>0</v>
      </c>
      <c r="F472" s="112" t="b">
        <v>0</v>
      </c>
      <c r="G472" s="112" t="b">
        <v>0</v>
      </c>
    </row>
    <row r="473" spans="1:7" ht="15">
      <c r="A473" s="112" t="s">
        <v>1741</v>
      </c>
      <c r="B473" s="112">
        <v>2</v>
      </c>
      <c r="C473" s="115">
        <v>0.0020249611937778055</v>
      </c>
      <c r="D473" s="112" t="s">
        <v>232</v>
      </c>
      <c r="E473" s="112" t="b">
        <v>0</v>
      </c>
      <c r="F473" s="112" t="b">
        <v>0</v>
      </c>
      <c r="G473" s="112" t="b">
        <v>0</v>
      </c>
    </row>
    <row r="474" spans="1:7" ht="15">
      <c r="A474" s="112" t="s">
        <v>1742</v>
      </c>
      <c r="B474" s="112">
        <v>2</v>
      </c>
      <c r="C474" s="115">
        <v>0.0020249611937778055</v>
      </c>
      <c r="D474" s="112" t="s">
        <v>232</v>
      </c>
      <c r="E474" s="112" t="b">
        <v>0</v>
      </c>
      <c r="F474" s="112" t="b">
        <v>0</v>
      </c>
      <c r="G474" s="112" t="b">
        <v>0</v>
      </c>
    </row>
    <row r="475" spans="1:7" ht="15">
      <c r="A475" s="112" t="s">
        <v>323</v>
      </c>
      <c r="B475" s="112">
        <v>2</v>
      </c>
      <c r="C475" s="115">
        <v>0.0020249611937778055</v>
      </c>
      <c r="D475" s="112" t="s">
        <v>232</v>
      </c>
      <c r="E475" s="112" t="b">
        <v>0</v>
      </c>
      <c r="F475" s="112" t="b">
        <v>0</v>
      </c>
      <c r="G475" s="112" t="b">
        <v>0</v>
      </c>
    </row>
    <row r="476" spans="1:7" ht="15">
      <c r="A476" s="112" t="s">
        <v>1572</v>
      </c>
      <c r="B476" s="112">
        <v>2</v>
      </c>
      <c r="C476" s="115">
        <v>0.0020249611937778055</v>
      </c>
      <c r="D476" s="112" t="s">
        <v>232</v>
      </c>
      <c r="E476" s="112" t="b">
        <v>0</v>
      </c>
      <c r="F476" s="112" t="b">
        <v>0</v>
      </c>
      <c r="G476" s="112" t="b">
        <v>0</v>
      </c>
    </row>
    <row r="477" spans="1:7" ht="15">
      <c r="A477" s="112" t="s">
        <v>1743</v>
      </c>
      <c r="B477" s="112">
        <v>2</v>
      </c>
      <c r="C477" s="115">
        <v>0.0025568163097919065</v>
      </c>
      <c r="D477" s="112" t="s">
        <v>232</v>
      </c>
      <c r="E477" s="112" t="b">
        <v>0</v>
      </c>
      <c r="F477" s="112" t="b">
        <v>0</v>
      </c>
      <c r="G477" s="112" t="b">
        <v>0</v>
      </c>
    </row>
    <row r="478" spans="1:7" ht="15">
      <c r="A478" s="112" t="s">
        <v>1536</v>
      </c>
      <c r="B478" s="112">
        <v>2</v>
      </c>
      <c r="C478" s="115">
        <v>0.0020249611937778055</v>
      </c>
      <c r="D478" s="112" t="s">
        <v>232</v>
      </c>
      <c r="E478" s="112" t="b">
        <v>0</v>
      </c>
      <c r="F478" s="112" t="b">
        <v>0</v>
      </c>
      <c r="G478" s="112" t="b">
        <v>0</v>
      </c>
    </row>
    <row r="479" spans="1:7" ht="15">
      <c r="A479" s="112" t="s">
        <v>1515</v>
      </c>
      <c r="B479" s="112">
        <v>2</v>
      </c>
      <c r="C479" s="115">
        <v>0.0020249611937778055</v>
      </c>
      <c r="D479" s="112" t="s">
        <v>232</v>
      </c>
      <c r="E479" s="112" t="b">
        <v>0</v>
      </c>
      <c r="F479" s="112" t="b">
        <v>0</v>
      </c>
      <c r="G479" s="112" t="b">
        <v>0</v>
      </c>
    </row>
    <row r="480" spans="1:7" ht="15">
      <c r="A480" s="112" t="s">
        <v>1744</v>
      </c>
      <c r="B480" s="112">
        <v>2</v>
      </c>
      <c r="C480" s="115">
        <v>0.0020249611937778055</v>
      </c>
      <c r="D480" s="112" t="s">
        <v>232</v>
      </c>
      <c r="E480" s="112" t="b">
        <v>0</v>
      </c>
      <c r="F480" s="112" t="b">
        <v>0</v>
      </c>
      <c r="G480" s="112" t="b">
        <v>0</v>
      </c>
    </row>
    <row r="481" spans="1:7" ht="15">
      <c r="A481" s="112" t="s">
        <v>1745</v>
      </c>
      <c r="B481" s="112">
        <v>2</v>
      </c>
      <c r="C481" s="115">
        <v>0.0020249611937778055</v>
      </c>
      <c r="D481" s="112" t="s">
        <v>232</v>
      </c>
      <c r="E481" s="112" t="b">
        <v>0</v>
      </c>
      <c r="F481" s="112" t="b">
        <v>0</v>
      </c>
      <c r="G481" s="112" t="b">
        <v>0</v>
      </c>
    </row>
    <row r="482" spans="1:7" ht="15">
      <c r="A482" s="112" t="s">
        <v>1746</v>
      </c>
      <c r="B482" s="112">
        <v>2</v>
      </c>
      <c r="C482" s="115">
        <v>0.0020249611937778055</v>
      </c>
      <c r="D482" s="112" t="s">
        <v>232</v>
      </c>
      <c r="E482" s="112" t="b">
        <v>0</v>
      </c>
      <c r="F482" s="112" t="b">
        <v>0</v>
      </c>
      <c r="G482" s="112" t="b">
        <v>0</v>
      </c>
    </row>
    <row r="483" spans="1:7" ht="15">
      <c r="A483" s="112" t="s">
        <v>1747</v>
      </c>
      <c r="B483" s="112">
        <v>2</v>
      </c>
      <c r="C483" s="115">
        <v>0.0025568163097919065</v>
      </c>
      <c r="D483" s="112" t="s">
        <v>232</v>
      </c>
      <c r="E483" s="112" t="b">
        <v>0</v>
      </c>
      <c r="F483" s="112" t="b">
        <v>0</v>
      </c>
      <c r="G483" s="112" t="b">
        <v>0</v>
      </c>
    </row>
    <row r="484" spans="1:7" ht="15">
      <c r="A484" s="112" t="s">
        <v>1748</v>
      </c>
      <c r="B484" s="112">
        <v>2</v>
      </c>
      <c r="C484" s="115">
        <v>0.0025568163097919065</v>
      </c>
      <c r="D484" s="112" t="s">
        <v>232</v>
      </c>
      <c r="E484" s="112" t="b">
        <v>0</v>
      </c>
      <c r="F484" s="112" t="b">
        <v>0</v>
      </c>
      <c r="G484" s="112" t="b">
        <v>0</v>
      </c>
    </row>
    <row r="485" spans="1:7" ht="15">
      <c r="A485" s="112" t="s">
        <v>1749</v>
      </c>
      <c r="B485" s="112">
        <v>2</v>
      </c>
      <c r="C485" s="115">
        <v>0.0020249611937778055</v>
      </c>
      <c r="D485" s="112" t="s">
        <v>232</v>
      </c>
      <c r="E485" s="112" t="b">
        <v>0</v>
      </c>
      <c r="F485" s="112" t="b">
        <v>0</v>
      </c>
      <c r="G485" s="112" t="b">
        <v>0</v>
      </c>
    </row>
    <row r="486" spans="1:7" ht="15">
      <c r="A486" s="112" t="s">
        <v>1750</v>
      </c>
      <c r="B486" s="112">
        <v>2</v>
      </c>
      <c r="C486" s="115">
        <v>0.0020249611937778055</v>
      </c>
      <c r="D486" s="112" t="s">
        <v>232</v>
      </c>
      <c r="E486" s="112" t="b">
        <v>0</v>
      </c>
      <c r="F486" s="112" t="b">
        <v>1</v>
      </c>
      <c r="G486" s="112" t="b">
        <v>0</v>
      </c>
    </row>
    <row r="487" spans="1:7" ht="15">
      <c r="A487" s="112" t="s">
        <v>1751</v>
      </c>
      <c r="B487" s="112">
        <v>2</v>
      </c>
      <c r="C487" s="115">
        <v>0.0020249611937778055</v>
      </c>
      <c r="D487" s="112" t="s">
        <v>232</v>
      </c>
      <c r="E487" s="112" t="b">
        <v>0</v>
      </c>
      <c r="F487" s="112" t="b">
        <v>0</v>
      </c>
      <c r="G487" s="112" t="b">
        <v>0</v>
      </c>
    </row>
    <row r="488" spans="1:7" ht="15">
      <c r="A488" s="112" t="s">
        <v>1752</v>
      </c>
      <c r="B488" s="112">
        <v>2</v>
      </c>
      <c r="C488" s="115">
        <v>0.0025568163097919065</v>
      </c>
      <c r="D488" s="112" t="s">
        <v>232</v>
      </c>
      <c r="E488" s="112" t="b">
        <v>0</v>
      </c>
      <c r="F488" s="112" t="b">
        <v>0</v>
      </c>
      <c r="G488" s="112" t="b">
        <v>0</v>
      </c>
    </row>
    <row r="489" spans="1:7" ht="15">
      <c r="A489" s="112" t="s">
        <v>1753</v>
      </c>
      <c r="B489" s="112">
        <v>2</v>
      </c>
      <c r="C489" s="115">
        <v>0.0020249611937778055</v>
      </c>
      <c r="D489" s="112" t="s">
        <v>232</v>
      </c>
      <c r="E489" s="112" t="b">
        <v>0</v>
      </c>
      <c r="F489" s="112" t="b">
        <v>0</v>
      </c>
      <c r="G489" s="112" t="b">
        <v>0</v>
      </c>
    </row>
    <row r="490" spans="1:7" ht="15">
      <c r="A490" s="112" t="s">
        <v>1754</v>
      </c>
      <c r="B490" s="112">
        <v>2</v>
      </c>
      <c r="C490" s="115">
        <v>0.0020249611937778055</v>
      </c>
      <c r="D490" s="112" t="s">
        <v>232</v>
      </c>
      <c r="E490" s="112" t="b">
        <v>0</v>
      </c>
      <c r="F490" s="112" t="b">
        <v>0</v>
      </c>
      <c r="G490" s="112" t="b">
        <v>0</v>
      </c>
    </row>
    <row r="491" spans="1:7" ht="15">
      <c r="A491" s="112" t="s">
        <v>1755</v>
      </c>
      <c r="B491" s="112">
        <v>2</v>
      </c>
      <c r="C491" s="115">
        <v>0.0020249611937778055</v>
      </c>
      <c r="D491" s="112" t="s">
        <v>232</v>
      </c>
      <c r="E491" s="112" t="b">
        <v>0</v>
      </c>
      <c r="F491" s="112" t="b">
        <v>0</v>
      </c>
      <c r="G491" s="112" t="b">
        <v>0</v>
      </c>
    </row>
    <row r="492" spans="1:7" ht="15">
      <c r="A492" s="112" t="s">
        <v>1756</v>
      </c>
      <c r="B492" s="112">
        <v>2</v>
      </c>
      <c r="C492" s="115">
        <v>0.0025568163097919065</v>
      </c>
      <c r="D492" s="112" t="s">
        <v>232</v>
      </c>
      <c r="E492" s="112" t="b">
        <v>0</v>
      </c>
      <c r="F492" s="112" t="b">
        <v>0</v>
      </c>
      <c r="G492" s="112" t="b">
        <v>0</v>
      </c>
    </row>
    <row r="493" spans="1:7" ht="15">
      <c r="A493" s="112" t="s">
        <v>1757</v>
      </c>
      <c r="B493" s="112">
        <v>2</v>
      </c>
      <c r="C493" s="115">
        <v>0.0020249611937778055</v>
      </c>
      <c r="D493" s="112" t="s">
        <v>232</v>
      </c>
      <c r="E493" s="112" t="b">
        <v>0</v>
      </c>
      <c r="F493" s="112" t="b">
        <v>0</v>
      </c>
      <c r="G493" s="112" t="b">
        <v>0</v>
      </c>
    </row>
    <row r="494" spans="1:7" ht="15">
      <c r="A494" s="112" t="s">
        <v>1502</v>
      </c>
      <c r="B494" s="112">
        <v>2</v>
      </c>
      <c r="C494" s="115">
        <v>0.0020249611937778055</v>
      </c>
      <c r="D494" s="112" t="s">
        <v>232</v>
      </c>
      <c r="E494" s="112" t="b">
        <v>0</v>
      </c>
      <c r="F494" s="112" t="b">
        <v>0</v>
      </c>
      <c r="G494" s="112" t="b">
        <v>0</v>
      </c>
    </row>
    <row r="495" spans="1:7" ht="15">
      <c r="A495" s="112" t="s">
        <v>1758</v>
      </c>
      <c r="B495" s="112">
        <v>2</v>
      </c>
      <c r="C495" s="115">
        <v>0.0020249611937778055</v>
      </c>
      <c r="D495" s="112" t="s">
        <v>232</v>
      </c>
      <c r="E495" s="112" t="b">
        <v>0</v>
      </c>
      <c r="F495" s="112" t="b">
        <v>0</v>
      </c>
      <c r="G495" s="112" t="b">
        <v>0</v>
      </c>
    </row>
    <row r="496" spans="1:7" ht="15">
      <c r="A496" s="112" t="s">
        <v>1567</v>
      </c>
      <c r="B496" s="112">
        <v>2</v>
      </c>
      <c r="C496" s="115">
        <v>0.0025568163097919065</v>
      </c>
      <c r="D496" s="112" t="s">
        <v>232</v>
      </c>
      <c r="E496" s="112" t="b">
        <v>0</v>
      </c>
      <c r="F496" s="112" t="b">
        <v>0</v>
      </c>
      <c r="G496" s="112" t="b">
        <v>0</v>
      </c>
    </row>
    <row r="497" spans="1:7" ht="15">
      <c r="A497" s="112" t="s">
        <v>301</v>
      </c>
      <c r="B497" s="112">
        <v>2</v>
      </c>
      <c r="C497" s="115">
        <v>0.0020249611937778055</v>
      </c>
      <c r="D497" s="112" t="s">
        <v>232</v>
      </c>
      <c r="E497" s="112" t="b">
        <v>0</v>
      </c>
      <c r="F497" s="112" t="b">
        <v>0</v>
      </c>
      <c r="G497" s="112" t="b">
        <v>0</v>
      </c>
    </row>
    <row r="498" spans="1:7" ht="15">
      <c r="A498" s="112" t="s">
        <v>1568</v>
      </c>
      <c r="B498" s="112">
        <v>2</v>
      </c>
      <c r="C498" s="115">
        <v>0.0020249611937778055</v>
      </c>
      <c r="D498" s="112" t="s">
        <v>232</v>
      </c>
      <c r="E498" s="112" t="b">
        <v>0</v>
      </c>
      <c r="F498" s="112" t="b">
        <v>0</v>
      </c>
      <c r="G498" s="112" t="b">
        <v>0</v>
      </c>
    </row>
    <row r="499" spans="1:7" ht="15">
      <c r="A499" s="112" t="s">
        <v>1759</v>
      </c>
      <c r="B499" s="112">
        <v>2</v>
      </c>
      <c r="C499" s="115">
        <v>0.0020249611937778055</v>
      </c>
      <c r="D499" s="112" t="s">
        <v>232</v>
      </c>
      <c r="E499" s="112" t="b">
        <v>0</v>
      </c>
      <c r="F499" s="112" t="b">
        <v>0</v>
      </c>
      <c r="G499" s="112" t="b">
        <v>0</v>
      </c>
    </row>
    <row r="500" spans="1:7" ht="15">
      <c r="A500" s="112" t="s">
        <v>1760</v>
      </c>
      <c r="B500" s="112">
        <v>2</v>
      </c>
      <c r="C500" s="115">
        <v>0.0025568163097919065</v>
      </c>
      <c r="D500" s="112" t="s">
        <v>232</v>
      </c>
      <c r="E500" s="112" t="b">
        <v>0</v>
      </c>
      <c r="F500" s="112" t="b">
        <v>0</v>
      </c>
      <c r="G500" s="112" t="b">
        <v>0</v>
      </c>
    </row>
    <row r="501" spans="1:7" ht="15">
      <c r="A501" s="112" t="s">
        <v>1459</v>
      </c>
      <c r="B501" s="112">
        <v>2</v>
      </c>
      <c r="C501" s="115">
        <v>0.0025568163097919065</v>
      </c>
      <c r="D501" s="112" t="s">
        <v>232</v>
      </c>
      <c r="E501" s="112" t="b">
        <v>0</v>
      </c>
      <c r="F501" s="112" t="b">
        <v>0</v>
      </c>
      <c r="G501" s="112" t="b">
        <v>0</v>
      </c>
    </row>
    <row r="502" spans="1:7" ht="15">
      <c r="A502" s="112" t="s">
        <v>1761</v>
      </c>
      <c r="B502" s="112">
        <v>2</v>
      </c>
      <c r="C502" s="115">
        <v>0.0025568163097919065</v>
      </c>
      <c r="D502" s="112" t="s">
        <v>232</v>
      </c>
      <c r="E502" s="112" t="b">
        <v>0</v>
      </c>
      <c r="F502" s="112" t="b">
        <v>0</v>
      </c>
      <c r="G502" s="112" t="b">
        <v>0</v>
      </c>
    </row>
    <row r="503" spans="1:7" ht="15">
      <c r="A503" s="112" t="s">
        <v>1762</v>
      </c>
      <c r="B503" s="112">
        <v>2</v>
      </c>
      <c r="C503" s="115">
        <v>0.0020249611937778055</v>
      </c>
      <c r="D503" s="112" t="s">
        <v>232</v>
      </c>
      <c r="E503" s="112" t="b">
        <v>0</v>
      </c>
      <c r="F503" s="112" t="b">
        <v>0</v>
      </c>
      <c r="G503" s="112" t="b">
        <v>0</v>
      </c>
    </row>
    <row r="504" spans="1:7" ht="15">
      <c r="A504" s="112" t="s">
        <v>1763</v>
      </c>
      <c r="B504" s="112">
        <v>2</v>
      </c>
      <c r="C504" s="115">
        <v>0.0025568163097919065</v>
      </c>
      <c r="D504" s="112" t="s">
        <v>232</v>
      </c>
      <c r="E504" s="112" t="b">
        <v>0</v>
      </c>
      <c r="F504" s="112" t="b">
        <v>0</v>
      </c>
      <c r="G504" s="112" t="b">
        <v>0</v>
      </c>
    </row>
    <row r="505" spans="1:7" ht="15">
      <c r="A505" s="112" t="s">
        <v>1764</v>
      </c>
      <c r="B505" s="112">
        <v>2</v>
      </c>
      <c r="C505" s="115">
        <v>0.0025568163097919065</v>
      </c>
      <c r="D505" s="112" t="s">
        <v>232</v>
      </c>
      <c r="E505" s="112" t="b">
        <v>0</v>
      </c>
      <c r="F505" s="112" t="b">
        <v>0</v>
      </c>
      <c r="G505" s="112" t="b">
        <v>0</v>
      </c>
    </row>
    <row r="506" spans="1:7" ht="15">
      <c r="A506" s="112" t="s">
        <v>1765</v>
      </c>
      <c r="B506" s="112">
        <v>2</v>
      </c>
      <c r="C506" s="115">
        <v>0.0020249611937778055</v>
      </c>
      <c r="D506" s="112" t="s">
        <v>232</v>
      </c>
      <c r="E506" s="112" t="b">
        <v>0</v>
      </c>
      <c r="F506" s="112" t="b">
        <v>0</v>
      </c>
      <c r="G506" s="112" t="b">
        <v>0</v>
      </c>
    </row>
    <row r="507" spans="1:7" ht="15">
      <c r="A507" s="112" t="s">
        <v>1570</v>
      </c>
      <c r="B507" s="112">
        <v>2</v>
      </c>
      <c r="C507" s="115">
        <v>0.0020249611937778055</v>
      </c>
      <c r="D507" s="112" t="s">
        <v>232</v>
      </c>
      <c r="E507" s="112" t="b">
        <v>0</v>
      </c>
      <c r="F507" s="112" t="b">
        <v>0</v>
      </c>
      <c r="G507" s="112" t="b">
        <v>0</v>
      </c>
    </row>
    <row r="508" spans="1:7" ht="15">
      <c r="A508" s="112" t="s">
        <v>1766</v>
      </c>
      <c r="B508" s="112">
        <v>2</v>
      </c>
      <c r="C508" s="115">
        <v>0.0025568163097919065</v>
      </c>
      <c r="D508" s="112" t="s">
        <v>232</v>
      </c>
      <c r="E508" s="112" t="b">
        <v>0</v>
      </c>
      <c r="F508" s="112" t="b">
        <v>0</v>
      </c>
      <c r="G508" s="112" t="b">
        <v>0</v>
      </c>
    </row>
    <row r="509" spans="1:7" ht="15">
      <c r="A509" s="112" t="s">
        <v>1767</v>
      </c>
      <c r="B509" s="112">
        <v>2</v>
      </c>
      <c r="C509" s="115">
        <v>0.0025568163097919065</v>
      </c>
      <c r="D509" s="112" t="s">
        <v>232</v>
      </c>
      <c r="E509" s="112" t="b">
        <v>0</v>
      </c>
      <c r="F509" s="112" t="b">
        <v>0</v>
      </c>
      <c r="G509" s="112" t="b">
        <v>0</v>
      </c>
    </row>
    <row r="510" spans="1:7" ht="15">
      <c r="A510" s="112" t="s">
        <v>1768</v>
      </c>
      <c r="B510" s="112">
        <v>2</v>
      </c>
      <c r="C510" s="115">
        <v>0.0025568163097919065</v>
      </c>
      <c r="D510" s="112" t="s">
        <v>232</v>
      </c>
      <c r="E510" s="112" t="b">
        <v>0</v>
      </c>
      <c r="F510" s="112" t="b">
        <v>0</v>
      </c>
      <c r="G510" s="112" t="b">
        <v>0</v>
      </c>
    </row>
    <row r="511" spans="1:7" ht="15">
      <c r="A511" s="112" t="s">
        <v>1769</v>
      </c>
      <c r="B511" s="112">
        <v>2</v>
      </c>
      <c r="C511" s="115">
        <v>0.0020249611937778055</v>
      </c>
      <c r="D511" s="112" t="s">
        <v>232</v>
      </c>
      <c r="E511" s="112" t="b">
        <v>1</v>
      </c>
      <c r="F511" s="112" t="b">
        <v>0</v>
      </c>
      <c r="G511" s="112" t="b">
        <v>0</v>
      </c>
    </row>
    <row r="512" spans="1:7" ht="15">
      <c r="A512" s="112" t="s">
        <v>1770</v>
      </c>
      <c r="B512" s="112">
        <v>2</v>
      </c>
      <c r="C512" s="115">
        <v>0.0025568163097919065</v>
      </c>
      <c r="D512" s="112" t="s">
        <v>232</v>
      </c>
      <c r="E512" s="112" t="b">
        <v>0</v>
      </c>
      <c r="F512" s="112" t="b">
        <v>0</v>
      </c>
      <c r="G512" s="112" t="b">
        <v>0</v>
      </c>
    </row>
    <row r="513" spans="1:7" ht="15">
      <c r="A513" s="112" t="s">
        <v>1540</v>
      </c>
      <c r="B513" s="112">
        <v>2</v>
      </c>
      <c r="C513" s="115">
        <v>0.0025568163097919065</v>
      </c>
      <c r="D513" s="112" t="s">
        <v>232</v>
      </c>
      <c r="E513" s="112" t="b">
        <v>0</v>
      </c>
      <c r="F513" s="112" t="b">
        <v>0</v>
      </c>
      <c r="G513" s="112" t="b">
        <v>0</v>
      </c>
    </row>
    <row r="514" spans="1:7" ht="15">
      <c r="A514" s="112" t="s">
        <v>1550</v>
      </c>
      <c r="B514" s="112">
        <v>2</v>
      </c>
      <c r="C514" s="115">
        <v>0.0020249611937778055</v>
      </c>
      <c r="D514" s="112" t="s">
        <v>232</v>
      </c>
      <c r="E514" s="112" t="b">
        <v>1</v>
      </c>
      <c r="F514" s="112" t="b">
        <v>0</v>
      </c>
      <c r="G514" s="112" t="b">
        <v>0</v>
      </c>
    </row>
    <row r="515" spans="1:7" ht="15">
      <c r="A515" s="112" t="s">
        <v>1577</v>
      </c>
      <c r="B515" s="112">
        <v>2</v>
      </c>
      <c r="C515" s="115">
        <v>0.0020249611937778055</v>
      </c>
      <c r="D515" s="112" t="s">
        <v>232</v>
      </c>
      <c r="E515" s="112" t="b">
        <v>0</v>
      </c>
      <c r="F515" s="112" t="b">
        <v>0</v>
      </c>
      <c r="G515" s="112" t="b">
        <v>0</v>
      </c>
    </row>
    <row r="516" spans="1:7" ht="15">
      <c r="A516" s="112" t="s">
        <v>1771</v>
      </c>
      <c r="B516" s="112">
        <v>2</v>
      </c>
      <c r="C516" s="115">
        <v>0.0025568163097919065</v>
      </c>
      <c r="D516" s="112" t="s">
        <v>232</v>
      </c>
      <c r="E516" s="112" t="b">
        <v>0</v>
      </c>
      <c r="F516" s="112" t="b">
        <v>0</v>
      </c>
      <c r="G516" s="112" t="b">
        <v>0</v>
      </c>
    </row>
    <row r="517" spans="1:7" ht="15">
      <c r="A517" s="112" t="s">
        <v>1772</v>
      </c>
      <c r="B517" s="112">
        <v>2</v>
      </c>
      <c r="C517" s="115">
        <v>0.0025568163097919065</v>
      </c>
      <c r="D517" s="112" t="s">
        <v>232</v>
      </c>
      <c r="E517" s="112" t="b">
        <v>0</v>
      </c>
      <c r="F517" s="112" t="b">
        <v>0</v>
      </c>
      <c r="G517" s="112" t="b">
        <v>0</v>
      </c>
    </row>
    <row r="518" spans="1:7" ht="15">
      <c r="A518" s="112" t="s">
        <v>1773</v>
      </c>
      <c r="B518" s="112">
        <v>2</v>
      </c>
      <c r="C518" s="115">
        <v>0.0020249611937778055</v>
      </c>
      <c r="D518" s="112" t="s">
        <v>232</v>
      </c>
      <c r="E518" s="112" t="b">
        <v>0</v>
      </c>
      <c r="F518" s="112" t="b">
        <v>0</v>
      </c>
      <c r="G518" s="112" t="b">
        <v>0</v>
      </c>
    </row>
    <row r="519" spans="1:7" ht="15">
      <c r="A519" s="112" t="s">
        <v>1774</v>
      </c>
      <c r="B519" s="112">
        <v>2</v>
      </c>
      <c r="C519" s="115">
        <v>0.0020249611937778055</v>
      </c>
      <c r="D519" s="112" t="s">
        <v>232</v>
      </c>
      <c r="E519" s="112" t="b">
        <v>0</v>
      </c>
      <c r="F519" s="112" t="b">
        <v>0</v>
      </c>
      <c r="G519" s="112" t="b">
        <v>0</v>
      </c>
    </row>
    <row r="520" spans="1:7" ht="15">
      <c r="A520" s="112" t="s">
        <v>1775</v>
      </c>
      <c r="B520" s="112">
        <v>2</v>
      </c>
      <c r="C520" s="115">
        <v>0.0025568163097919065</v>
      </c>
      <c r="D520" s="112" t="s">
        <v>232</v>
      </c>
      <c r="E520" s="112" t="b">
        <v>0</v>
      </c>
      <c r="F520" s="112" t="b">
        <v>0</v>
      </c>
      <c r="G520" s="112" t="b">
        <v>0</v>
      </c>
    </row>
    <row r="521" spans="1:7" ht="15">
      <c r="A521" s="112" t="s">
        <v>1776</v>
      </c>
      <c r="B521" s="112">
        <v>2</v>
      </c>
      <c r="C521" s="115">
        <v>0.0020249611937778055</v>
      </c>
      <c r="D521" s="112" t="s">
        <v>232</v>
      </c>
      <c r="E521" s="112" t="b">
        <v>0</v>
      </c>
      <c r="F521" s="112" t="b">
        <v>0</v>
      </c>
      <c r="G521" s="112" t="b">
        <v>0</v>
      </c>
    </row>
    <row r="522" spans="1:7" ht="15">
      <c r="A522" s="112" t="s">
        <v>1470</v>
      </c>
      <c r="B522" s="112">
        <v>2</v>
      </c>
      <c r="C522" s="115">
        <v>0.0020249611937778055</v>
      </c>
      <c r="D522" s="112" t="s">
        <v>232</v>
      </c>
      <c r="E522" s="112" t="b">
        <v>0</v>
      </c>
      <c r="F522" s="112" t="b">
        <v>0</v>
      </c>
      <c r="G522" s="112" t="b">
        <v>0</v>
      </c>
    </row>
    <row r="523" spans="1:7" ht="15">
      <c r="A523" s="112" t="s">
        <v>1777</v>
      </c>
      <c r="B523" s="112">
        <v>2</v>
      </c>
      <c r="C523" s="115">
        <v>0.0025568163097919065</v>
      </c>
      <c r="D523" s="112" t="s">
        <v>232</v>
      </c>
      <c r="E523" s="112" t="b">
        <v>0</v>
      </c>
      <c r="F523" s="112" t="b">
        <v>0</v>
      </c>
      <c r="G523" s="112" t="b">
        <v>0</v>
      </c>
    </row>
    <row r="524" spans="1:7" ht="15">
      <c r="A524" s="112" t="s">
        <v>297</v>
      </c>
      <c r="B524" s="112">
        <v>2</v>
      </c>
      <c r="C524" s="115">
        <v>0.0025568163097919065</v>
      </c>
      <c r="D524" s="112" t="s">
        <v>232</v>
      </c>
      <c r="E524" s="112" t="b">
        <v>0</v>
      </c>
      <c r="F524" s="112" t="b">
        <v>0</v>
      </c>
      <c r="G524" s="112" t="b">
        <v>0</v>
      </c>
    </row>
    <row r="525" spans="1:7" ht="15">
      <c r="A525" s="112" t="s">
        <v>1778</v>
      </c>
      <c r="B525" s="112">
        <v>2</v>
      </c>
      <c r="C525" s="115">
        <v>0.0025568163097919065</v>
      </c>
      <c r="D525" s="112" t="s">
        <v>232</v>
      </c>
      <c r="E525" s="112" t="b">
        <v>0</v>
      </c>
      <c r="F525" s="112" t="b">
        <v>0</v>
      </c>
      <c r="G525" s="112" t="b">
        <v>0</v>
      </c>
    </row>
    <row r="526" spans="1:7" ht="15">
      <c r="A526" s="112" t="s">
        <v>1466</v>
      </c>
      <c r="B526" s="112">
        <v>2</v>
      </c>
      <c r="C526" s="115">
        <v>0.0020249611937778055</v>
      </c>
      <c r="D526" s="112" t="s">
        <v>232</v>
      </c>
      <c r="E526" s="112" t="b">
        <v>0</v>
      </c>
      <c r="F526" s="112" t="b">
        <v>0</v>
      </c>
      <c r="G526" s="112" t="b">
        <v>0</v>
      </c>
    </row>
    <row r="527" spans="1:7" ht="15">
      <c r="A527" s="112" t="s">
        <v>1520</v>
      </c>
      <c r="B527" s="112">
        <v>2</v>
      </c>
      <c r="C527" s="115">
        <v>0.0025568163097919065</v>
      </c>
      <c r="D527" s="112" t="s">
        <v>232</v>
      </c>
      <c r="E527" s="112" t="b">
        <v>0</v>
      </c>
      <c r="F527" s="112" t="b">
        <v>0</v>
      </c>
      <c r="G527" s="112" t="b">
        <v>0</v>
      </c>
    </row>
    <row r="528" spans="1:7" ht="15">
      <c r="A528" s="112" t="s">
        <v>1779</v>
      </c>
      <c r="B528" s="112">
        <v>2</v>
      </c>
      <c r="C528" s="115">
        <v>0.0025568163097919065</v>
      </c>
      <c r="D528" s="112" t="s">
        <v>232</v>
      </c>
      <c r="E528" s="112" t="b">
        <v>0</v>
      </c>
      <c r="F528" s="112" t="b">
        <v>0</v>
      </c>
      <c r="G528" s="112" t="b">
        <v>0</v>
      </c>
    </row>
    <row r="529" spans="1:7" ht="15">
      <c r="A529" s="112" t="s">
        <v>1546</v>
      </c>
      <c r="B529" s="112">
        <v>2</v>
      </c>
      <c r="C529" s="115">
        <v>0.0025568163097919065</v>
      </c>
      <c r="D529" s="112" t="s">
        <v>232</v>
      </c>
      <c r="E529" s="112" t="b">
        <v>0</v>
      </c>
      <c r="F529" s="112" t="b">
        <v>0</v>
      </c>
      <c r="G529" s="112" t="b">
        <v>0</v>
      </c>
    </row>
    <row r="530" spans="1:7" ht="15">
      <c r="A530" s="112" t="s">
        <v>1558</v>
      </c>
      <c r="B530" s="112">
        <v>2</v>
      </c>
      <c r="C530" s="115">
        <v>0.0025568163097919065</v>
      </c>
      <c r="D530" s="112" t="s">
        <v>232</v>
      </c>
      <c r="E530" s="112" t="b">
        <v>0</v>
      </c>
      <c r="F530" s="112" t="b">
        <v>0</v>
      </c>
      <c r="G530" s="112" t="b">
        <v>0</v>
      </c>
    </row>
    <row r="531" spans="1:7" ht="15">
      <c r="A531" s="112" t="s">
        <v>1780</v>
      </c>
      <c r="B531" s="112">
        <v>2</v>
      </c>
      <c r="C531" s="115">
        <v>0.0025568163097919065</v>
      </c>
      <c r="D531" s="112" t="s">
        <v>232</v>
      </c>
      <c r="E531" s="112" t="b">
        <v>0</v>
      </c>
      <c r="F531" s="112" t="b">
        <v>0</v>
      </c>
      <c r="G531" s="112" t="b">
        <v>0</v>
      </c>
    </row>
    <row r="532" spans="1:7" ht="15">
      <c r="A532" s="112" t="s">
        <v>1781</v>
      </c>
      <c r="B532" s="112">
        <v>2</v>
      </c>
      <c r="C532" s="115">
        <v>0.0025568163097919065</v>
      </c>
      <c r="D532" s="112" t="s">
        <v>232</v>
      </c>
      <c r="E532" s="112" t="b">
        <v>0</v>
      </c>
      <c r="F532" s="112" t="b">
        <v>0</v>
      </c>
      <c r="G532" s="112" t="b">
        <v>0</v>
      </c>
    </row>
    <row r="533" spans="1:7" ht="15">
      <c r="A533" s="112" t="s">
        <v>302</v>
      </c>
      <c r="B533" s="112">
        <v>6</v>
      </c>
      <c r="C533" s="115">
        <v>0.023464979740311268</v>
      </c>
      <c r="D533" s="112" t="s">
        <v>233</v>
      </c>
      <c r="E533" s="112" t="b">
        <v>0</v>
      </c>
      <c r="F533" s="112" t="b">
        <v>0</v>
      </c>
      <c r="G533" s="112" t="b">
        <v>0</v>
      </c>
    </row>
    <row r="534" spans="1:7" ht="15">
      <c r="A534" s="112" t="s">
        <v>1452</v>
      </c>
      <c r="B534" s="112">
        <v>5</v>
      </c>
      <c r="C534" s="115">
        <v>0.007216854879331198</v>
      </c>
      <c r="D534" s="112" t="s">
        <v>233</v>
      </c>
      <c r="E534" s="112" t="b">
        <v>0</v>
      </c>
      <c r="F534" s="112" t="b">
        <v>0</v>
      </c>
      <c r="G534" s="112" t="b">
        <v>0</v>
      </c>
    </row>
    <row r="535" spans="1:7" ht="15">
      <c r="A535" s="112" t="s">
        <v>1455</v>
      </c>
      <c r="B535" s="112">
        <v>4</v>
      </c>
      <c r="C535" s="115">
        <v>0.01564331982687418</v>
      </c>
      <c r="D535" s="112" t="s">
        <v>233</v>
      </c>
      <c r="E535" s="112" t="b">
        <v>0</v>
      </c>
      <c r="F535" s="112" t="b">
        <v>0</v>
      </c>
      <c r="G535" s="112" t="b">
        <v>0</v>
      </c>
    </row>
    <row r="536" spans="1:7" ht="15">
      <c r="A536" s="112" t="s">
        <v>1454</v>
      </c>
      <c r="B536" s="112">
        <v>4</v>
      </c>
      <c r="C536" s="115">
        <v>0.01564331982687418</v>
      </c>
      <c r="D536" s="112" t="s">
        <v>233</v>
      </c>
      <c r="E536" s="112" t="b">
        <v>0</v>
      </c>
      <c r="F536" s="112" t="b">
        <v>0</v>
      </c>
      <c r="G536" s="112" t="b">
        <v>0</v>
      </c>
    </row>
    <row r="537" spans="1:7" ht="15">
      <c r="A537" s="112" t="s">
        <v>1456</v>
      </c>
      <c r="B537" s="112">
        <v>4</v>
      </c>
      <c r="C537" s="115">
        <v>0.01564331982687418</v>
      </c>
      <c r="D537" s="112" t="s">
        <v>233</v>
      </c>
      <c r="E537" s="112" t="b">
        <v>0</v>
      </c>
      <c r="F537" s="112" t="b">
        <v>0</v>
      </c>
      <c r="G537" s="112" t="b">
        <v>0</v>
      </c>
    </row>
    <row r="538" spans="1:7" ht="15">
      <c r="A538" s="112" t="s">
        <v>1450</v>
      </c>
      <c r="B538" s="112">
        <v>3</v>
      </c>
      <c r="C538" s="115">
        <v>0.004330112927598719</v>
      </c>
      <c r="D538" s="112" t="s">
        <v>233</v>
      </c>
      <c r="E538" s="112" t="b">
        <v>0</v>
      </c>
      <c r="F538" s="112" t="b">
        <v>0</v>
      </c>
      <c r="G538" s="112" t="b">
        <v>0</v>
      </c>
    </row>
    <row r="539" spans="1:7" ht="15">
      <c r="A539" s="112" t="s">
        <v>1451</v>
      </c>
      <c r="B539" s="112">
        <v>3</v>
      </c>
      <c r="C539" s="115">
        <v>0.004330112927598719</v>
      </c>
      <c r="D539" s="112" t="s">
        <v>233</v>
      </c>
      <c r="E539" s="112" t="b">
        <v>0</v>
      </c>
      <c r="F539" s="112" t="b">
        <v>0</v>
      </c>
      <c r="G539" s="112" t="b">
        <v>0</v>
      </c>
    </row>
    <row r="540" spans="1:7" ht="15">
      <c r="A540" s="112" t="s">
        <v>1605</v>
      </c>
      <c r="B540" s="112">
        <v>2</v>
      </c>
      <c r="C540" s="115">
        <v>0.00782165991343709</v>
      </c>
      <c r="D540" s="112" t="s">
        <v>233</v>
      </c>
      <c r="E540" s="112" t="b">
        <v>0</v>
      </c>
      <c r="F540" s="112" t="b">
        <v>0</v>
      </c>
      <c r="G540" s="112" t="b">
        <v>0</v>
      </c>
    </row>
    <row r="541" spans="1:7" ht="15">
      <c r="A541" s="112" t="s">
        <v>1606</v>
      </c>
      <c r="B541" s="112">
        <v>2</v>
      </c>
      <c r="C541" s="115">
        <v>0.00782165991343709</v>
      </c>
      <c r="D541" s="112" t="s">
        <v>233</v>
      </c>
      <c r="E541" s="112" t="b">
        <v>0</v>
      </c>
      <c r="F541" s="112" t="b">
        <v>0</v>
      </c>
      <c r="G541" s="112" t="b">
        <v>0</v>
      </c>
    </row>
    <row r="542" spans="1:7" ht="15">
      <c r="A542" s="112" t="s">
        <v>1607</v>
      </c>
      <c r="B542" s="112">
        <v>2</v>
      </c>
      <c r="C542" s="115">
        <v>0.00782165991343709</v>
      </c>
      <c r="D542" s="112" t="s">
        <v>233</v>
      </c>
      <c r="E542" s="112" t="b">
        <v>0</v>
      </c>
      <c r="F542" s="112" t="b">
        <v>0</v>
      </c>
      <c r="G542" s="112" t="b">
        <v>0</v>
      </c>
    </row>
    <row r="543" spans="1:7" ht="15">
      <c r="A543" s="112" t="s">
        <v>1608</v>
      </c>
      <c r="B543" s="112">
        <v>2</v>
      </c>
      <c r="C543" s="115">
        <v>0.00782165991343709</v>
      </c>
      <c r="D543" s="112" t="s">
        <v>233</v>
      </c>
      <c r="E543" s="112" t="b">
        <v>0</v>
      </c>
      <c r="F543" s="112" t="b">
        <v>0</v>
      </c>
      <c r="G543" s="112" t="b">
        <v>0</v>
      </c>
    </row>
    <row r="544" spans="1:7" ht="15">
      <c r="A544" s="112" t="s">
        <v>1534</v>
      </c>
      <c r="B544" s="112">
        <v>2</v>
      </c>
      <c r="C544" s="115">
        <v>0.00782165991343709</v>
      </c>
      <c r="D544" s="112" t="s">
        <v>233</v>
      </c>
      <c r="E544" s="112" t="b">
        <v>1</v>
      </c>
      <c r="F544" s="112" t="b">
        <v>0</v>
      </c>
      <c r="G544" s="112" t="b">
        <v>0</v>
      </c>
    </row>
    <row r="545" spans="1:7" ht="15">
      <c r="A545" s="112" t="s">
        <v>1503</v>
      </c>
      <c r="B545" s="112">
        <v>2</v>
      </c>
      <c r="C545" s="115">
        <v>0.00782165991343709</v>
      </c>
      <c r="D545" s="112" t="s">
        <v>233</v>
      </c>
      <c r="E545" s="112" t="b">
        <v>0</v>
      </c>
      <c r="F545" s="112" t="b">
        <v>0</v>
      </c>
      <c r="G545" s="112" t="b">
        <v>0</v>
      </c>
    </row>
    <row r="546" spans="1:7" ht="15">
      <c r="A546" s="112" t="s">
        <v>1474</v>
      </c>
      <c r="B546" s="112">
        <v>2</v>
      </c>
      <c r="C546" s="115">
        <v>0.00782165991343709</v>
      </c>
      <c r="D546" s="112" t="s">
        <v>233</v>
      </c>
      <c r="E546" s="112" t="b">
        <v>0</v>
      </c>
      <c r="F546" s="112" t="b">
        <v>0</v>
      </c>
      <c r="G546" s="112" t="b">
        <v>0</v>
      </c>
    </row>
    <row r="547" spans="1:7" ht="15">
      <c r="A547" s="112" t="s">
        <v>1610</v>
      </c>
      <c r="B547" s="112">
        <v>2</v>
      </c>
      <c r="C547" s="115">
        <v>0.00782165991343709</v>
      </c>
      <c r="D547" s="112" t="s">
        <v>233</v>
      </c>
      <c r="E547" s="112" t="b">
        <v>0</v>
      </c>
      <c r="F547" s="112" t="b">
        <v>0</v>
      </c>
      <c r="G547" s="112" t="b">
        <v>0</v>
      </c>
    </row>
    <row r="548" spans="1:7" ht="15">
      <c r="A548" s="112" t="s">
        <v>287</v>
      </c>
      <c r="B548" s="112">
        <v>2</v>
      </c>
      <c r="C548" s="115">
        <v>0.0028867419517324792</v>
      </c>
      <c r="D548" s="112" t="s">
        <v>233</v>
      </c>
      <c r="E548" s="112" t="b">
        <v>0</v>
      </c>
      <c r="F548" s="112" t="b">
        <v>0</v>
      </c>
      <c r="G548" s="112" t="b">
        <v>0</v>
      </c>
    </row>
    <row r="549" spans="1:7" ht="15">
      <c r="A549" s="112" t="s">
        <v>293</v>
      </c>
      <c r="B549" s="112">
        <v>2</v>
      </c>
      <c r="C549" s="115">
        <v>0.00782165991343709</v>
      </c>
      <c r="D549" s="112" t="s">
        <v>233</v>
      </c>
      <c r="E549" s="112" t="b">
        <v>0</v>
      </c>
      <c r="F549" s="112" t="b">
        <v>0</v>
      </c>
      <c r="G549" s="112" t="b">
        <v>0</v>
      </c>
    </row>
    <row r="550" spans="1:7" ht="15">
      <c r="A550" s="112" t="s">
        <v>1613</v>
      </c>
      <c r="B550" s="112">
        <v>2</v>
      </c>
      <c r="C550" s="115">
        <v>0.00782165991343709</v>
      </c>
      <c r="D550" s="112" t="s">
        <v>233</v>
      </c>
      <c r="E550" s="112" t="b">
        <v>0</v>
      </c>
      <c r="F550" s="112" t="b">
        <v>0</v>
      </c>
      <c r="G550" s="112" t="b">
        <v>0</v>
      </c>
    </row>
    <row r="551" spans="1:7" ht="15">
      <c r="A551" s="112" t="s">
        <v>1538</v>
      </c>
      <c r="B551" s="112">
        <v>2</v>
      </c>
      <c r="C551" s="115">
        <v>0.00782165991343709</v>
      </c>
      <c r="D551" s="112" t="s">
        <v>233</v>
      </c>
      <c r="E551" s="112" t="b">
        <v>0</v>
      </c>
      <c r="F551" s="112" t="b">
        <v>0</v>
      </c>
      <c r="G551" s="112" t="b">
        <v>0</v>
      </c>
    </row>
    <row r="552" spans="1:7" ht="15">
      <c r="A552" s="112" t="s">
        <v>1454</v>
      </c>
      <c r="B552" s="112">
        <v>6</v>
      </c>
      <c r="C552" s="115">
        <v>0.0036567435104868273</v>
      </c>
      <c r="D552" s="112" t="s">
        <v>234</v>
      </c>
      <c r="E552" s="112" t="b">
        <v>0</v>
      </c>
      <c r="F552" s="112" t="b">
        <v>0</v>
      </c>
      <c r="G552" s="112" t="b">
        <v>0</v>
      </c>
    </row>
    <row r="553" spans="1:7" ht="15">
      <c r="A553" s="112" t="s">
        <v>287</v>
      </c>
      <c r="B553" s="112">
        <v>5</v>
      </c>
      <c r="C553" s="115">
        <v>0.007342195016194664</v>
      </c>
      <c r="D553" s="112" t="s">
        <v>234</v>
      </c>
      <c r="E553" s="112" t="b">
        <v>0</v>
      </c>
      <c r="F553" s="112" t="b">
        <v>0</v>
      </c>
      <c r="G553" s="112" t="b">
        <v>0</v>
      </c>
    </row>
    <row r="554" spans="1:7" ht="15">
      <c r="A554" s="112" t="s">
        <v>1456</v>
      </c>
      <c r="B554" s="112">
        <v>4</v>
      </c>
      <c r="C554" s="115">
        <v>0.005873756012955731</v>
      </c>
      <c r="D554" s="112" t="s">
        <v>234</v>
      </c>
      <c r="E554" s="112" t="b">
        <v>0</v>
      </c>
      <c r="F554" s="112" t="b">
        <v>0</v>
      </c>
      <c r="G554" s="112" t="b">
        <v>0</v>
      </c>
    </row>
    <row r="555" spans="1:7" ht="15">
      <c r="A555" s="112" t="s">
        <v>1579</v>
      </c>
      <c r="B555" s="112">
        <v>3</v>
      </c>
      <c r="C555" s="115">
        <v>0.004405317009716798</v>
      </c>
      <c r="D555" s="112" t="s">
        <v>234</v>
      </c>
      <c r="E555" s="112" t="b">
        <v>0</v>
      </c>
      <c r="F555" s="112" t="b">
        <v>0</v>
      </c>
      <c r="G555" s="112" t="b">
        <v>0</v>
      </c>
    </row>
    <row r="556" spans="1:7" ht="15">
      <c r="A556" s="112" t="s">
        <v>1493</v>
      </c>
      <c r="B556" s="112">
        <v>3</v>
      </c>
      <c r="C556" s="115">
        <v>0.004405317009716798</v>
      </c>
      <c r="D556" s="112" t="s">
        <v>234</v>
      </c>
      <c r="E556" s="112" t="b">
        <v>0</v>
      </c>
      <c r="F556" s="112" t="b">
        <v>0</v>
      </c>
      <c r="G556" s="112" t="b">
        <v>0</v>
      </c>
    </row>
    <row r="557" spans="1:7" ht="15">
      <c r="A557" s="112" t="s">
        <v>1450</v>
      </c>
      <c r="B557" s="112">
        <v>3</v>
      </c>
      <c r="C557" s="115">
        <v>0.0018283717552434137</v>
      </c>
      <c r="D557" s="112" t="s">
        <v>234</v>
      </c>
      <c r="E557" s="112" t="b">
        <v>0</v>
      </c>
      <c r="F557" s="112" t="b">
        <v>0</v>
      </c>
      <c r="G557" s="112" t="b">
        <v>0</v>
      </c>
    </row>
    <row r="558" spans="1:7" ht="15">
      <c r="A558" s="112" t="s">
        <v>1483</v>
      </c>
      <c r="B558" s="112">
        <v>3</v>
      </c>
      <c r="C558" s="115">
        <v>0.0018283717552434137</v>
      </c>
      <c r="D558" s="112" t="s">
        <v>234</v>
      </c>
      <c r="E558" s="112" t="b">
        <v>0</v>
      </c>
      <c r="F558" s="112" t="b">
        <v>0</v>
      </c>
      <c r="G558" s="112" t="b">
        <v>0</v>
      </c>
    </row>
    <row r="559" spans="1:7" ht="15">
      <c r="A559" s="112" t="s">
        <v>293</v>
      </c>
      <c r="B559" s="112">
        <v>3</v>
      </c>
      <c r="C559" s="115">
        <v>0.008810634019433597</v>
      </c>
      <c r="D559" s="112" t="s">
        <v>234</v>
      </c>
      <c r="E559" s="112" t="b">
        <v>0</v>
      </c>
      <c r="F559" s="112" t="b">
        <v>0</v>
      </c>
      <c r="G559" s="112" t="b">
        <v>0</v>
      </c>
    </row>
    <row r="560" spans="1:7" ht="15">
      <c r="A560" s="112" t="s">
        <v>1492</v>
      </c>
      <c r="B560" s="112">
        <v>3</v>
      </c>
      <c r="C560" s="115">
        <v>0.008810634019433597</v>
      </c>
      <c r="D560" s="112" t="s">
        <v>234</v>
      </c>
      <c r="E560" s="112" t="b">
        <v>0</v>
      </c>
      <c r="F560" s="112" t="b">
        <v>0</v>
      </c>
      <c r="G560" s="112" t="b">
        <v>0</v>
      </c>
    </row>
    <row r="561" spans="1:7" ht="15">
      <c r="A561" s="112" t="s">
        <v>1453</v>
      </c>
      <c r="B561" s="112">
        <v>3</v>
      </c>
      <c r="C561" s="115">
        <v>0.008810634019433597</v>
      </c>
      <c r="D561" s="112" t="s">
        <v>234</v>
      </c>
      <c r="E561" s="112" t="b">
        <v>1</v>
      </c>
      <c r="F561" s="112" t="b">
        <v>0</v>
      </c>
      <c r="G561" s="112" t="b">
        <v>0</v>
      </c>
    </row>
    <row r="562" spans="1:7" ht="15">
      <c r="A562" s="112" t="s">
        <v>1578</v>
      </c>
      <c r="B562" s="112">
        <v>3</v>
      </c>
      <c r="C562" s="115">
        <v>0.008810634019433597</v>
      </c>
      <c r="D562" s="112" t="s">
        <v>234</v>
      </c>
      <c r="E562" s="112" t="b">
        <v>0</v>
      </c>
      <c r="F562" s="112" t="b">
        <v>0</v>
      </c>
      <c r="G562" s="112" t="b">
        <v>0</v>
      </c>
    </row>
    <row r="563" spans="1:7" ht="15">
      <c r="A563" s="112" t="s">
        <v>1451</v>
      </c>
      <c r="B563" s="112">
        <v>2</v>
      </c>
      <c r="C563" s="115">
        <v>0.0029368780064778655</v>
      </c>
      <c r="D563" s="112" t="s">
        <v>234</v>
      </c>
      <c r="E563" s="112" t="b">
        <v>0</v>
      </c>
      <c r="F563" s="112" t="b">
        <v>0</v>
      </c>
      <c r="G563" s="112" t="b">
        <v>0</v>
      </c>
    </row>
    <row r="564" spans="1:7" ht="15">
      <c r="A564" s="112" t="s">
        <v>1576</v>
      </c>
      <c r="B564" s="112">
        <v>2</v>
      </c>
      <c r="C564" s="115">
        <v>0.0029368780064778655</v>
      </c>
      <c r="D564" s="112" t="s">
        <v>234</v>
      </c>
      <c r="E564" s="112" t="b">
        <v>0</v>
      </c>
      <c r="F564" s="112" t="b">
        <v>0</v>
      </c>
      <c r="G564" s="112" t="b">
        <v>0</v>
      </c>
    </row>
    <row r="565" spans="1:7" ht="15">
      <c r="A565" s="112" t="s">
        <v>1582</v>
      </c>
      <c r="B565" s="112">
        <v>2</v>
      </c>
      <c r="C565" s="115">
        <v>0.005873756012955731</v>
      </c>
      <c r="D565" s="112" t="s">
        <v>234</v>
      </c>
      <c r="E565" s="112" t="b">
        <v>0</v>
      </c>
      <c r="F565" s="112" t="b">
        <v>0</v>
      </c>
      <c r="G565" s="112" t="b">
        <v>0</v>
      </c>
    </row>
    <row r="566" spans="1:7" ht="15">
      <c r="A566" s="112" t="s">
        <v>1503</v>
      </c>
      <c r="B566" s="112">
        <v>2</v>
      </c>
      <c r="C566" s="115">
        <v>0.005873756012955731</v>
      </c>
      <c r="D566" s="112" t="s">
        <v>234</v>
      </c>
      <c r="E566" s="112" t="b">
        <v>0</v>
      </c>
      <c r="F566" s="112" t="b">
        <v>0</v>
      </c>
      <c r="G566" s="112" t="b">
        <v>0</v>
      </c>
    </row>
    <row r="567" spans="1:7" ht="15">
      <c r="A567" s="112" t="s">
        <v>1694</v>
      </c>
      <c r="B567" s="112">
        <v>2</v>
      </c>
      <c r="C567" s="115">
        <v>0.0029368780064778655</v>
      </c>
      <c r="D567" s="112" t="s">
        <v>234</v>
      </c>
      <c r="E567" s="112" t="b">
        <v>0</v>
      </c>
      <c r="F567" s="112" t="b">
        <v>0</v>
      </c>
      <c r="G567" s="112" t="b">
        <v>0</v>
      </c>
    </row>
    <row r="568" spans="1:7" ht="15">
      <c r="A568" s="112" t="s">
        <v>1705</v>
      </c>
      <c r="B568" s="112">
        <v>2</v>
      </c>
      <c r="C568" s="115">
        <v>0.0029368780064778655</v>
      </c>
      <c r="D568" s="112" t="s">
        <v>234</v>
      </c>
      <c r="E568" s="112" t="b">
        <v>0</v>
      </c>
      <c r="F568" s="112" t="b">
        <v>0</v>
      </c>
      <c r="G568" s="112" t="b">
        <v>0</v>
      </c>
    </row>
    <row r="569" spans="1:7" ht="15">
      <c r="A569" s="112" t="s">
        <v>318</v>
      </c>
      <c r="B569" s="112">
        <v>2</v>
      </c>
      <c r="C569" s="115">
        <v>0.0029368780064778655</v>
      </c>
      <c r="D569" s="112" t="s">
        <v>234</v>
      </c>
      <c r="E569" s="112" t="b">
        <v>0</v>
      </c>
      <c r="F569" s="112" t="b">
        <v>0</v>
      </c>
      <c r="G569" s="112" t="b">
        <v>0</v>
      </c>
    </row>
    <row r="570" spans="1:7" ht="15">
      <c r="A570" s="112" t="s">
        <v>305</v>
      </c>
      <c r="B570" s="112">
        <v>2</v>
      </c>
      <c r="C570" s="115">
        <v>0.0029368780064778655</v>
      </c>
      <c r="D570" s="112" t="s">
        <v>234</v>
      </c>
      <c r="E570" s="112" t="b">
        <v>0</v>
      </c>
      <c r="F570" s="112" t="b">
        <v>0</v>
      </c>
      <c r="G570" s="112" t="b">
        <v>0</v>
      </c>
    </row>
    <row r="571" spans="1:7" ht="15">
      <c r="A571" s="112" t="s">
        <v>1470</v>
      </c>
      <c r="B571" s="112">
        <v>2</v>
      </c>
      <c r="C571" s="115">
        <v>0.0029368780064778655</v>
      </c>
      <c r="D571" s="112" t="s">
        <v>234</v>
      </c>
      <c r="E571" s="112" t="b">
        <v>0</v>
      </c>
      <c r="F571" s="112" t="b">
        <v>0</v>
      </c>
      <c r="G571" s="112" t="b">
        <v>0</v>
      </c>
    </row>
    <row r="572" spans="1:7" ht="15">
      <c r="A572" s="112" t="s">
        <v>1707</v>
      </c>
      <c r="B572" s="112">
        <v>2</v>
      </c>
      <c r="C572" s="115">
        <v>0.005873756012955731</v>
      </c>
      <c r="D572" s="112" t="s">
        <v>234</v>
      </c>
      <c r="E572" s="112" t="b">
        <v>0</v>
      </c>
      <c r="F572" s="112" t="b">
        <v>0</v>
      </c>
      <c r="G572" s="112" t="b">
        <v>0</v>
      </c>
    </row>
    <row r="573" spans="1:7" ht="15">
      <c r="A573" s="112" t="s">
        <v>298</v>
      </c>
      <c r="B573" s="112">
        <v>2</v>
      </c>
      <c r="C573" s="115">
        <v>0.0029368780064778655</v>
      </c>
      <c r="D573" s="112" t="s">
        <v>234</v>
      </c>
      <c r="E573" s="112" t="b">
        <v>0</v>
      </c>
      <c r="F573" s="112" t="b">
        <v>0</v>
      </c>
      <c r="G573" s="112" t="b">
        <v>0</v>
      </c>
    </row>
    <row r="574" spans="1:7" ht="15">
      <c r="A574" s="112" t="s">
        <v>1421</v>
      </c>
      <c r="B574" s="112">
        <v>2</v>
      </c>
      <c r="C574" s="115">
        <v>0.005873756012955731</v>
      </c>
      <c r="D574" s="112" t="s">
        <v>234</v>
      </c>
      <c r="E574" s="112" t="b">
        <v>0</v>
      </c>
      <c r="F574" s="112" t="b">
        <v>0</v>
      </c>
      <c r="G574" s="112" t="b">
        <v>0</v>
      </c>
    </row>
    <row r="575" spans="1:7" ht="15">
      <c r="A575" s="112" t="s">
        <v>1553</v>
      </c>
      <c r="B575" s="112">
        <v>2</v>
      </c>
      <c r="C575" s="115">
        <v>0.005873756012955731</v>
      </c>
      <c r="D575" s="112" t="s">
        <v>234</v>
      </c>
      <c r="E575" s="112" t="b">
        <v>0</v>
      </c>
      <c r="F575" s="112" t="b">
        <v>0</v>
      </c>
      <c r="G575" s="112" t="b">
        <v>0</v>
      </c>
    </row>
    <row r="576" spans="1:7" ht="15">
      <c r="A576" s="112" t="s">
        <v>1494</v>
      </c>
      <c r="B576" s="112">
        <v>2</v>
      </c>
      <c r="C576" s="115">
        <v>0.005873756012955731</v>
      </c>
      <c r="D576" s="112" t="s">
        <v>234</v>
      </c>
      <c r="E576" s="112" t="b">
        <v>1</v>
      </c>
      <c r="F576" s="112" t="b">
        <v>0</v>
      </c>
      <c r="G576" s="112" t="b">
        <v>0</v>
      </c>
    </row>
    <row r="577" spans="1:7" ht="15">
      <c r="A577" s="112" t="s">
        <v>290</v>
      </c>
      <c r="B577" s="112">
        <v>2</v>
      </c>
      <c r="C577" s="115">
        <v>0.005873756012955731</v>
      </c>
      <c r="D577" s="112" t="s">
        <v>234</v>
      </c>
      <c r="E577" s="112" t="b">
        <v>0</v>
      </c>
      <c r="F577" s="112" t="b">
        <v>0</v>
      </c>
      <c r="G577" s="112" t="b">
        <v>0</v>
      </c>
    </row>
    <row r="578" spans="1:7" ht="15">
      <c r="A578" s="112" t="s">
        <v>1453</v>
      </c>
      <c r="B578" s="112">
        <v>5</v>
      </c>
      <c r="C578" s="115">
        <v>0.02427661255354687</v>
      </c>
      <c r="D578" s="112" t="s">
        <v>235</v>
      </c>
      <c r="E578" s="112" t="b">
        <v>1</v>
      </c>
      <c r="F578" s="112" t="b">
        <v>0</v>
      </c>
      <c r="G578" s="112" t="b">
        <v>0</v>
      </c>
    </row>
    <row r="579" spans="1:7" ht="15">
      <c r="A579" s="112" t="s">
        <v>1450</v>
      </c>
      <c r="B579" s="112">
        <v>3</v>
      </c>
      <c r="C579" s="115">
        <v>0.014565967532128122</v>
      </c>
      <c r="D579" s="112" t="s">
        <v>235</v>
      </c>
      <c r="E579" s="112" t="b">
        <v>0</v>
      </c>
      <c r="F579" s="112" t="b">
        <v>0</v>
      </c>
      <c r="G579" s="112" t="b">
        <v>0</v>
      </c>
    </row>
    <row r="580" spans="1:7" ht="15">
      <c r="A580" s="112" t="s">
        <v>1464</v>
      </c>
      <c r="B580" s="112">
        <v>2</v>
      </c>
      <c r="C580" s="115">
        <v>0.009710645021418747</v>
      </c>
      <c r="D580" s="112" t="s">
        <v>235</v>
      </c>
      <c r="E580" s="112" t="b">
        <v>0</v>
      </c>
      <c r="F580" s="112" t="b">
        <v>0</v>
      </c>
      <c r="G580" s="112" t="b">
        <v>0</v>
      </c>
    </row>
    <row r="581" spans="1:7" ht="15">
      <c r="A581" s="112" t="s">
        <v>1460</v>
      </c>
      <c r="B581" s="112">
        <v>2</v>
      </c>
      <c r="C581" s="115">
        <v>0.009710645021418747</v>
      </c>
      <c r="D581" s="112" t="s">
        <v>235</v>
      </c>
      <c r="E581" s="112" t="b">
        <v>0</v>
      </c>
      <c r="F581" s="112" t="b">
        <v>0</v>
      </c>
      <c r="G581" s="112" t="b">
        <v>0</v>
      </c>
    </row>
    <row r="582" spans="1:7" ht="15">
      <c r="A582" s="112" t="s">
        <v>293</v>
      </c>
      <c r="B582" s="112">
        <v>2</v>
      </c>
      <c r="C582" s="115">
        <v>0.009710645021418747</v>
      </c>
      <c r="D582" s="112" t="s">
        <v>235</v>
      </c>
      <c r="E582" s="112" t="b">
        <v>0</v>
      </c>
      <c r="F582" s="112" t="b">
        <v>0</v>
      </c>
      <c r="G582" s="112" t="b">
        <v>0</v>
      </c>
    </row>
    <row r="583" spans="1:7" ht="15">
      <c r="A583" s="112" t="s">
        <v>1481</v>
      </c>
      <c r="B583" s="112">
        <v>2</v>
      </c>
      <c r="C583" s="115">
        <v>0.009710645021418747</v>
      </c>
      <c r="D583" s="112" t="s">
        <v>235</v>
      </c>
      <c r="E583" s="112" t="b">
        <v>0</v>
      </c>
      <c r="F583" s="112" t="b">
        <v>0</v>
      </c>
      <c r="G583" s="112" t="b">
        <v>0</v>
      </c>
    </row>
    <row r="584" spans="1:7" ht="15">
      <c r="A584" s="112" t="s">
        <v>306</v>
      </c>
      <c r="B584" s="112">
        <v>2</v>
      </c>
      <c r="C584" s="115">
        <v>0.009710645021418747</v>
      </c>
      <c r="D584" s="112" t="s">
        <v>235</v>
      </c>
      <c r="E584" s="112" t="b">
        <v>0</v>
      </c>
      <c r="F584" s="112" t="b">
        <v>0</v>
      </c>
      <c r="G584" s="112" t="b">
        <v>0</v>
      </c>
    </row>
    <row r="585" spans="1:7" ht="15">
      <c r="A585" s="112" t="s">
        <v>1450</v>
      </c>
      <c r="B585" s="112">
        <v>3</v>
      </c>
      <c r="C585" s="115">
        <v>0</v>
      </c>
      <c r="D585" s="112" t="s">
        <v>236</v>
      </c>
      <c r="E585" s="112" t="b">
        <v>0</v>
      </c>
      <c r="F585" s="112" t="b">
        <v>0</v>
      </c>
      <c r="G585" s="112" t="b">
        <v>0</v>
      </c>
    </row>
    <row r="586" spans="1:7" ht="15">
      <c r="A586" s="112" t="s">
        <v>1451</v>
      </c>
      <c r="B586" s="112">
        <v>3</v>
      </c>
      <c r="C586" s="115">
        <v>0</v>
      </c>
      <c r="D586" s="112" t="s">
        <v>236</v>
      </c>
      <c r="E586" s="112" t="b">
        <v>0</v>
      </c>
      <c r="F586" s="112" t="b">
        <v>0</v>
      </c>
      <c r="G586" s="112" t="b">
        <v>0</v>
      </c>
    </row>
    <row r="587" spans="1:7" ht="15">
      <c r="A587" s="112" t="s">
        <v>1457</v>
      </c>
      <c r="B587" s="112">
        <v>2</v>
      </c>
      <c r="C587" s="115">
        <v>0</v>
      </c>
      <c r="D587" s="112" t="s">
        <v>236</v>
      </c>
      <c r="E587" s="112" t="b">
        <v>0</v>
      </c>
      <c r="F587" s="112" t="b">
        <v>0</v>
      </c>
      <c r="G587" s="112" t="b">
        <v>0</v>
      </c>
    </row>
    <row r="588" spans="1:7" ht="15">
      <c r="A588" s="112" t="s">
        <v>1500</v>
      </c>
      <c r="B588" s="112">
        <v>2</v>
      </c>
      <c r="C588" s="115">
        <v>0</v>
      </c>
      <c r="D588" s="112" t="s">
        <v>236</v>
      </c>
      <c r="E588" s="112" t="b">
        <v>0</v>
      </c>
      <c r="F588" s="112" t="b">
        <v>0</v>
      </c>
      <c r="G588" s="112" t="b">
        <v>0</v>
      </c>
    </row>
    <row r="589" spans="1:7" ht="15">
      <c r="A589" s="112" t="s">
        <v>1527</v>
      </c>
      <c r="B589" s="112">
        <v>2</v>
      </c>
      <c r="C589" s="115">
        <v>0</v>
      </c>
      <c r="D589" s="112" t="s">
        <v>236</v>
      </c>
      <c r="E589" s="112" t="b">
        <v>0</v>
      </c>
      <c r="F589" s="112" t="b">
        <v>0</v>
      </c>
      <c r="G589" s="112" t="b">
        <v>0</v>
      </c>
    </row>
    <row r="590" spans="1:7" ht="15">
      <c r="A590" s="112" t="s">
        <v>319</v>
      </c>
      <c r="B590" s="112">
        <v>2</v>
      </c>
      <c r="C590" s="115">
        <v>0</v>
      </c>
      <c r="D590" s="112" t="s">
        <v>236</v>
      </c>
      <c r="E590" s="112" t="b">
        <v>0</v>
      </c>
      <c r="F590" s="112" t="b">
        <v>0</v>
      </c>
      <c r="G590" s="112" t="b">
        <v>0</v>
      </c>
    </row>
    <row r="591" spans="1:7" ht="15">
      <c r="A591" s="112" t="s">
        <v>1450</v>
      </c>
      <c r="B591" s="112">
        <v>7</v>
      </c>
      <c r="C591" s="115">
        <v>0</v>
      </c>
      <c r="D591" s="112" t="s">
        <v>237</v>
      </c>
      <c r="E591" s="112" t="b">
        <v>0</v>
      </c>
      <c r="F591" s="112" t="b">
        <v>0</v>
      </c>
      <c r="G591" s="112" t="b">
        <v>0</v>
      </c>
    </row>
    <row r="592" spans="1:7" ht="15">
      <c r="A592" s="112" t="s">
        <v>1451</v>
      </c>
      <c r="B592" s="112">
        <v>7</v>
      </c>
      <c r="C592" s="115">
        <v>0</v>
      </c>
      <c r="D592" s="112" t="s">
        <v>237</v>
      </c>
      <c r="E592" s="112" t="b">
        <v>0</v>
      </c>
      <c r="F592" s="112" t="b">
        <v>0</v>
      </c>
      <c r="G592" s="112" t="b">
        <v>0</v>
      </c>
    </row>
    <row r="593" spans="1:7" ht="15">
      <c r="A593" s="112" t="s">
        <v>1510</v>
      </c>
      <c r="B593" s="112">
        <v>4</v>
      </c>
      <c r="C593" s="115">
        <v>0.007573081651924055</v>
      </c>
      <c r="D593" s="112" t="s">
        <v>237</v>
      </c>
      <c r="E593" s="112" t="b">
        <v>0</v>
      </c>
      <c r="F593" s="112" t="b">
        <v>0</v>
      </c>
      <c r="G593" s="112" t="b">
        <v>0</v>
      </c>
    </row>
    <row r="594" spans="1:7" ht="15">
      <c r="A594" s="112" t="s">
        <v>1557</v>
      </c>
      <c r="B594" s="112">
        <v>3</v>
      </c>
      <c r="C594" s="115">
        <v>0.0056798112389430415</v>
      </c>
      <c r="D594" s="112" t="s">
        <v>237</v>
      </c>
      <c r="E594" s="112" t="b">
        <v>0</v>
      </c>
      <c r="F594" s="112" t="b">
        <v>0</v>
      </c>
      <c r="G594" s="112" t="b">
        <v>0</v>
      </c>
    </row>
    <row r="595" spans="1:7" ht="15">
      <c r="A595" s="112" t="s">
        <v>1457</v>
      </c>
      <c r="B595" s="112">
        <v>3</v>
      </c>
      <c r="C595" s="115">
        <v>0.0056798112389430415</v>
      </c>
      <c r="D595" s="112" t="s">
        <v>237</v>
      </c>
      <c r="E595" s="112" t="b">
        <v>0</v>
      </c>
      <c r="F595" s="112" t="b">
        <v>0</v>
      </c>
      <c r="G595" s="112" t="b">
        <v>0</v>
      </c>
    </row>
    <row r="596" spans="1:7" ht="15">
      <c r="A596" s="112" t="s">
        <v>1650</v>
      </c>
      <c r="B596" s="112">
        <v>2</v>
      </c>
      <c r="C596" s="115">
        <v>0.0037865408259620276</v>
      </c>
      <c r="D596" s="112" t="s">
        <v>237</v>
      </c>
      <c r="E596" s="112" t="b">
        <v>0</v>
      </c>
      <c r="F596" s="112" t="b">
        <v>0</v>
      </c>
      <c r="G596" s="112" t="b">
        <v>0</v>
      </c>
    </row>
    <row r="597" spans="1:7" ht="15">
      <c r="A597" s="112" t="s">
        <v>1651</v>
      </c>
      <c r="B597" s="112">
        <v>2</v>
      </c>
      <c r="C597" s="115">
        <v>0.0037865408259620276</v>
      </c>
      <c r="D597" s="112" t="s">
        <v>237</v>
      </c>
      <c r="E597" s="112" t="b">
        <v>0</v>
      </c>
      <c r="F597" s="112" t="b">
        <v>0</v>
      </c>
      <c r="G597" s="112" t="b">
        <v>0</v>
      </c>
    </row>
    <row r="598" spans="1:7" ht="15">
      <c r="A598" s="112" t="s">
        <v>1652</v>
      </c>
      <c r="B598" s="112">
        <v>2</v>
      </c>
      <c r="C598" s="115">
        <v>0.0037865408259620276</v>
      </c>
      <c r="D598" s="112" t="s">
        <v>237</v>
      </c>
      <c r="E598" s="112" t="b">
        <v>0</v>
      </c>
      <c r="F598" s="112" t="b">
        <v>0</v>
      </c>
      <c r="G598" s="112" t="b">
        <v>0</v>
      </c>
    </row>
    <row r="599" spans="1:7" ht="15">
      <c r="A599" s="112" t="s">
        <v>1653</v>
      </c>
      <c r="B599" s="112">
        <v>2</v>
      </c>
      <c r="C599" s="115">
        <v>0.0037865408259620276</v>
      </c>
      <c r="D599" s="112" t="s">
        <v>237</v>
      </c>
      <c r="E599" s="112" t="b">
        <v>0</v>
      </c>
      <c r="F599" s="112" t="b">
        <v>0</v>
      </c>
      <c r="G599" s="112" t="b">
        <v>0</v>
      </c>
    </row>
    <row r="600" spans="1:7" ht="15">
      <c r="A600" s="112" t="s">
        <v>1654</v>
      </c>
      <c r="B600" s="112">
        <v>2</v>
      </c>
      <c r="C600" s="115">
        <v>0.0037865408259620276</v>
      </c>
      <c r="D600" s="112" t="s">
        <v>237</v>
      </c>
      <c r="E600" s="112" t="b">
        <v>0</v>
      </c>
      <c r="F600" s="112" t="b">
        <v>0</v>
      </c>
      <c r="G600" s="112" t="b">
        <v>0</v>
      </c>
    </row>
    <row r="601" spans="1:7" ht="15">
      <c r="A601" s="112" t="s">
        <v>1460</v>
      </c>
      <c r="B601" s="112">
        <v>2</v>
      </c>
      <c r="C601" s="115">
        <v>0.0037865408259620276</v>
      </c>
      <c r="D601" s="112" t="s">
        <v>237</v>
      </c>
      <c r="E601" s="112" t="b">
        <v>0</v>
      </c>
      <c r="F601" s="112" t="b">
        <v>0</v>
      </c>
      <c r="G601" s="112" t="b">
        <v>0</v>
      </c>
    </row>
    <row r="602" spans="1:7" ht="15">
      <c r="A602" s="112" t="s">
        <v>1452</v>
      </c>
      <c r="B602" s="112">
        <v>2</v>
      </c>
      <c r="C602" s="115">
        <v>0.0037865408259620276</v>
      </c>
      <c r="D602" s="112" t="s">
        <v>237</v>
      </c>
      <c r="E602" s="112" t="b">
        <v>0</v>
      </c>
      <c r="F602" s="112" t="b">
        <v>0</v>
      </c>
      <c r="G602" s="112" t="b">
        <v>0</v>
      </c>
    </row>
    <row r="603" spans="1:7" ht="15">
      <c r="A603" s="112" t="s">
        <v>320</v>
      </c>
      <c r="B603" s="112">
        <v>2</v>
      </c>
      <c r="C603" s="115">
        <v>0.0037865408259620276</v>
      </c>
      <c r="D603" s="112" t="s">
        <v>237</v>
      </c>
      <c r="E603" s="112" t="b">
        <v>0</v>
      </c>
      <c r="F603" s="112" t="b">
        <v>0</v>
      </c>
      <c r="G603" s="112" t="b">
        <v>0</v>
      </c>
    </row>
    <row r="604" spans="1:7" ht="15">
      <c r="A604" s="112" t="s">
        <v>1467</v>
      </c>
      <c r="B604" s="112">
        <v>2</v>
      </c>
      <c r="C604" s="115">
        <v>0.0037865408259620276</v>
      </c>
      <c r="D604" s="112" t="s">
        <v>237</v>
      </c>
      <c r="E604" s="112" t="b">
        <v>0</v>
      </c>
      <c r="F604" s="112" t="b">
        <v>0</v>
      </c>
      <c r="G604" s="112" t="b">
        <v>0</v>
      </c>
    </row>
    <row r="605" spans="1:7" ht="15">
      <c r="A605" s="112" t="s">
        <v>1463</v>
      </c>
      <c r="B605" s="112">
        <v>5</v>
      </c>
      <c r="C605" s="115">
        <v>0.00946635206490507</v>
      </c>
      <c r="D605" s="112" t="s">
        <v>238</v>
      </c>
      <c r="E605" s="112" t="b">
        <v>0</v>
      </c>
      <c r="F605" s="112" t="b">
        <v>0</v>
      </c>
      <c r="G605" s="112" t="b">
        <v>0</v>
      </c>
    </row>
    <row r="606" spans="1:7" ht="15">
      <c r="A606" s="112" t="s">
        <v>1461</v>
      </c>
      <c r="B606" s="112">
        <v>3</v>
      </c>
      <c r="C606" s="115">
        <v>0</v>
      </c>
      <c r="D606" s="112" t="s">
        <v>238</v>
      </c>
      <c r="E606" s="112" t="b">
        <v>0</v>
      </c>
      <c r="F606" s="112" t="b">
        <v>0</v>
      </c>
      <c r="G606" s="112" t="b">
        <v>0</v>
      </c>
    </row>
    <row r="607" spans="1:7" ht="15">
      <c r="A607" s="112" t="s">
        <v>1466</v>
      </c>
      <c r="B607" s="112">
        <v>3</v>
      </c>
      <c r="C607" s="115">
        <v>0.0056798112389430415</v>
      </c>
      <c r="D607" s="112" t="s">
        <v>238</v>
      </c>
      <c r="E607" s="112" t="b">
        <v>0</v>
      </c>
      <c r="F607" s="112" t="b">
        <v>0</v>
      </c>
      <c r="G607" s="112" t="b">
        <v>0</v>
      </c>
    </row>
    <row r="608" spans="1:7" ht="15">
      <c r="A608" s="112" t="s">
        <v>294</v>
      </c>
      <c r="B608" s="112">
        <v>2</v>
      </c>
      <c r="C608" s="115">
        <v>0</v>
      </c>
      <c r="D608" s="112" t="s">
        <v>238</v>
      </c>
      <c r="E608" s="112" t="b">
        <v>0</v>
      </c>
      <c r="F608" s="112" t="b">
        <v>0</v>
      </c>
      <c r="G608" s="112" t="b">
        <v>0</v>
      </c>
    </row>
    <row r="609" spans="1:7" ht="15">
      <c r="A609" s="112" t="s">
        <v>1628</v>
      </c>
      <c r="B609" s="112">
        <v>2</v>
      </c>
      <c r="C609" s="115">
        <v>0.0037865408259620276</v>
      </c>
      <c r="D609" s="112" t="s">
        <v>238</v>
      </c>
      <c r="E609" s="112" t="b">
        <v>0</v>
      </c>
      <c r="F609" s="112" t="b">
        <v>0</v>
      </c>
      <c r="G609" s="112" t="b">
        <v>0</v>
      </c>
    </row>
    <row r="610" spans="1:7" ht="15">
      <c r="A610" s="112" t="s">
        <v>1629</v>
      </c>
      <c r="B610" s="112">
        <v>2</v>
      </c>
      <c r="C610" s="115">
        <v>0.0037865408259620276</v>
      </c>
      <c r="D610" s="112" t="s">
        <v>238</v>
      </c>
      <c r="E610" s="112" t="b">
        <v>0</v>
      </c>
      <c r="F610" s="112" t="b">
        <v>0</v>
      </c>
      <c r="G610" s="112" t="b">
        <v>0</v>
      </c>
    </row>
    <row r="611" spans="1:7" ht="15">
      <c r="A611" s="112" t="s">
        <v>1547</v>
      </c>
      <c r="B611" s="112">
        <v>2</v>
      </c>
      <c r="C611" s="115">
        <v>0.0037865408259620276</v>
      </c>
      <c r="D611" s="112" t="s">
        <v>238</v>
      </c>
      <c r="E611" s="112" t="b">
        <v>0</v>
      </c>
      <c r="F611" s="112" t="b">
        <v>0</v>
      </c>
      <c r="G611" s="112" t="b">
        <v>0</v>
      </c>
    </row>
    <row r="612" spans="1:7" ht="15">
      <c r="A612" s="112" t="s">
        <v>1630</v>
      </c>
      <c r="B612" s="112">
        <v>2</v>
      </c>
      <c r="C612" s="115">
        <v>0.0037865408259620276</v>
      </c>
      <c r="D612" s="112" t="s">
        <v>238</v>
      </c>
      <c r="E612" s="112" t="b">
        <v>0</v>
      </c>
      <c r="F612" s="112" t="b">
        <v>0</v>
      </c>
      <c r="G612" s="112" t="b">
        <v>0</v>
      </c>
    </row>
    <row r="613" spans="1:7" ht="15">
      <c r="A613" s="112" t="s">
        <v>1631</v>
      </c>
      <c r="B613" s="112">
        <v>2</v>
      </c>
      <c r="C613" s="115">
        <v>0.0037865408259620276</v>
      </c>
      <c r="D613" s="112" t="s">
        <v>238</v>
      </c>
      <c r="E613" s="112" t="b">
        <v>0</v>
      </c>
      <c r="F613" s="112" t="b">
        <v>0</v>
      </c>
      <c r="G613" s="112" t="b">
        <v>0</v>
      </c>
    </row>
    <row r="614" spans="1:7" ht="15">
      <c r="A614" s="112" t="s">
        <v>1632</v>
      </c>
      <c r="B614" s="112">
        <v>2</v>
      </c>
      <c r="C614" s="115">
        <v>0.0037865408259620276</v>
      </c>
      <c r="D614" s="112" t="s">
        <v>238</v>
      </c>
      <c r="E614" s="112" t="b">
        <v>0</v>
      </c>
      <c r="F614" s="112" t="b">
        <v>0</v>
      </c>
      <c r="G614" s="112" t="b">
        <v>0</v>
      </c>
    </row>
    <row r="615" spans="1:7" ht="15">
      <c r="A615" s="112" t="s">
        <v>302</v>
      </c>
      <c r="B615" s="112">
        <v>2</v>
      </c>
      <c r="C615" s="115">
        <v>0.0037865408259620276</v>
      </c>
      <c r="D615" s="112" t="s">
        <v>238</v>
      </c>
      <c r="E615" s="112" t="b">
        <v>0</v>
      </c>
      <c r="F615" s="112" t="b">
        <v>0</v>
      </c>
      <c r="G615" s="112" t="b">
        <v>0</v>
      </c>
    </row>
    <row r="616" spans="1:7" ht="15">
      <c r="A616" s="112" t="s">
        <v>1477</v>
      </c>
      <c r="B616" s="112">
        <v>2</v>
      </c>
      <c r="C616" s="115">
        <v>0.0037865408259620276</v>
      </c>
      <c r="D616" s="112" t="s">
        <v>238</v>
      </c>
      <c r="E616" s="112" t="b">
        <v>1</v>
      </c>
      <c r="F616" s="112" t="b">
        <v>0</v>
      </c>
      <c r="G616" s="112" t="b">
        <v>0</v>
      </c>
    </row>
    <row r="617" spans="1:7" ht="15">
      <c r="A617" s="112" t="s">
        <v>1498</v>
      </c>
      <c r="B617" s="112">
        <v>2</v>
      </c>
      <c r="C617" s="115">
        <v>0.0037865408259620276</v>
      </c>
      <c r="D617" s="112" t="s">
        <v>238</v>
      </c>
      <c r="E617" s="112" t="b">
        <v>0</v>
      </c>
      <c r="F617" s="112" t="b">
        <v>0</v>
      </c>
      <c r="G617" s="112" t="b">
        <v>0</v>
      </c>
    </row>
    <row r="618" spans="1:7" ht="15">
      <c r="A618" s="112" t="s">
        <v>1450</v>
      </c>
      <c r="B618" s="112">
        <v>2</v>
      </c>
      <c r="C618" s="115">
        <v>0.0037865408259620276</v>
      </c>
      <c r="D618" s="112" t="s">
        <v>238</v>
      </c>
      <c r="E618" s="112" t="b">
        <v>0</v>
      </c>
      <c r="F618" s="112" t="b">
        <v>0</v>
      </c>
      <c r="G618" s="112" t="b">
        <v>0</v>
      </c>
    </row>
    <row r="619" spans="1:7" ht="15">
      <c r="A619" s="112" t="s">
        <v>1451</v>
      </c>
      <c r="B619" s="112">
        <v>2</v>
      </c>
      <c r="C619" s="115">
        <v>0.0037865408259620276</v>
      </c>
      <c r="D619" s="112" t="s">
        <v>238</v>
      </c>
      <c r="E619" s="112" t="b">
        <v>0</v>
      </c>
      <c r="F619" s="112" t="b">
        <v>0</v>
      </c>
      <c r="G619" s="112" t="b">
        <v>0</v>
      </c>
    </row>
    <row r="620" spans="1:7" ht="15">
      <c r="A620" s="112" t="s">
        <v>1636</v>
      </c>
      <c r="B620" s="112">
        <v>2</v>
      </c>
      <c r="C620" s="115">
        <v>0.0037865408259620276</v>
      </c>
      <c r="D620" s="112" t="s">
        <v>238</v>
      </c>
      <c r="E620" s="112" t="b">
        <v>0</v>
      </c>
      <c r="F620" s="112" t="b">
        <v>0</v>
      </c>
      <c r="G620" s="112" t="b">
        <v>0</v>
      </c>
    </row>
    <row r="621" spans="1:7" ht="15">
      <c r="A621" s="112" t="s">
        <v>1637</v>
      </c>
      <c r="B621" s="112">
        <v>2</v>
      </c>
      <c r="C621" s="115">
        <v>0.0037865408259620276</v>
      </c>
      <c r="D621" s="112" t="s">
        <v>238</v>
      </c>
      <c r="E621" s="112" t="b">
        <v>0</v>
      </c>
      <c r="F621" s="112" t="b">
        <v>0</v>
      </c>
      <c r="G621" s="112" t="b">
        <v>0</v>
      </c>
    </row>
    <row r="622" spans="1:7" ht="15">
      <c r="A622" s="112" t="s">
        <v>1458</v>
      </c>
      <c r="B622" s="112">
        <v>2</v>
      </c>
      <c r="C622" s="115">
        <v>0</v>
      </c>
      <c r="D622" s="112" t="s">
        <v>238</v>
      </c>
      <c r="E622" s="112" t="b">
        <v>0</v>
      </c>
      <c r="F622" s="112" t="b">
        <v>0</v>
      </c>
      <c r="G622" s="112" t="b">
        <v>0</v>
      </c>
    </row>
    <row r="623" spans="1:7" ht="15">
      <c r="A623" s="112" t="s">
        <v>1640</v>
      </c>
      <c r="B623" s="112">
        <v>2</v>
      </c>
      <c r="C623" s="115">
        <v>0.0037865408259620276</v>
      </c>
      <c r="D623" s="112" t="s">
        <v>238</v>
      </c>
      <c r="E623" s="112" t="b">
        <v>0</v>
      </c>
      <c r="F623" s="112" t="b">
        <v>0</v>
      </c>
      <c r="G623" s="112" t="b">
        <v>0</v>
      </c>
    </row>
    <row r="624" spans="1:7" ht="15">
      <c r="A624" s="112" t="s">
        <v>1642</v>
      </c>
      <c r="B624" s="112">
        <v>2</v>
      </c>
      <c r="C624" s="115">
        <v>0.0037865408259620276</v>
      </c>
      <c r="D624" s="112" t="s">
        <v>238</v>
      </c>
      <c r="E624" s="112" t="b">
        <v>0</v>
      </c>
      <c r="F624" s="112" t="b">
        <v>0</v>
      </c>
      <c r="G624" s="112" t="b">
        <v>0</v>
      </c>
    </row>
    <row r="625" spans="1:7" ht="15">
      <c r="A625" s="112" t="s">
        <v>1643</v>
      </c>
      <c r="B625" s="112">
        <v>2</v>
      </c>
      <c r="C625" s="115">
        <v>0.0037865408259620276</v>
      </c>
      <c r="D625" s="112" t="s">
        <v>238</v>
      </c>
      <c r="E625" s="112" t="b">
        <v>0</v>
      </c>
      <c r="F625" s="112" t="b">
        <v>0</v>
      </c>
      <c r="G625" s="112" t="b">
        <v>0</v>
      </c>
    </row>
    <row r="626" spans="1:7" ht="15">
      <c r="A626" s="112" t="s">
        <v>1644</v>
      </c>
      <c r="B626" s="112">
        <v>2</v>
      </c>
      <c r="C626" s="115">
        <v>0.0037865408259620276</v>
      </c>
      <c r="D626" s="112" t="s">
        <v>238</v>
      </c>
      <c r="E626" s="112" t="b">
        <v>0</v>
      </c>
      <c r="F626" s="112" t="b">
        <v>0</v>
      </c>
      <c r="G626" s="112" t="b">
        <v>0</v>
      </c>
    </row>
    <row r="627" spans="1:7" ht="15">
      <c r="A627" s="112" t="s">
        <v>1453</v>
      </c>
      <c r="B627" s="112">
        <v>5</v>
      </c>
      <c r="C627" s="115">
        <v>0.014756372336469667</v>
      </c>
      <c r="D627" s="112" t="s">
        <v>239</v>
      </c>
      <c r="E627" s="112" t="b">
        <v>1</v>
      </c>
      <c r="F627" s="112" t="b">
        <v>0</v>
      </c>
      <c r="G627" s="112" t="b">
        <v>0</v>
      </c>
    </row>
    <row r="628" spans="1:7" ht="15">
      <c r="A628" s="112" t="s">
        <v>1450</v>
      </c>
      <c r="B628" s="112">
        <v>3</v>
      </c>
      <c r="C628" s="115">
        <v>0</v>
      </c>
      <c r="D628" s="112" t="s">
        <v>239</v>
      </c>
      <c r="E628" s="112" t="b">
        <v>0</v>
      </c>
      <c r="F628" s="112" t="b">
        <v>0</v>
      </c>
      <c r="G628" s="112" t="b">
        <v>0</v>
      </c>
    </row>
    <row r="629" spans="1:7" ht="15">
      <c r="A629" s="112" t="s">
        <v>1451</v>
      </c>
      <c r="B629" s="112">
        <v>3</v>
      </c>
      <c r="C629" s="115">
        <v>0</v>
      </c>
      <c r="D629" s="112" t="s">
        <v>239</v>
      </c>
      <c r="E629" s="112" t="b">
        <v>0</v>
      </c>
      <c r="F629" s="112" t="b">
        <v>0</v>
      </c>
      <c r="G629" s="112" t="b">
        <v>0</v>
      </c>
    </row>
    <row r="630" spans="1:7" ht="15">
      <c r="A630" s="112" t="s">
        <v>1480</v>
      </c>
      <c r="B630" s="112">
        <v>2</v>
      </c>
      <c r="C630" s="115">
        <v>0.005902548934587867</v>
      </c>
      <c r="D630" s="112" t="s">
        <v>239</v>
      </c>
      <c r="E630" s="112" t="b">
        <v>0</v>
      </c>
      <c r="F630" s="112" t="b">
        <v>0</v>
      </c>
      <c r="G630" s="112" t="b">
        <v>0</v>
      </c>
    </row>
    <row r="631" spans="1:7" ht="15">
      <c r="A631" s="112" t="s">
        <v>1459</v>
      </c>
      <c r="B631" s="112">
        <v>2</v>
      </c>
      <c r="C631" s="115">
        <v>0.005902548934587867</v>
      </c>
      <c r="D631" s="112" t="s">
        <v>239</v>
      </c>
      <c r="E631" s="112" t="b">
        <v>0</v>
      </c>
      <c r="F631" s="112" t="b">
        <v>0</v>
      </c>
      <c r="G631" s="112" t="b">
        <v>0</v>
      </c>
    </row>
    <row r="632" spans="1:7" ht="15">
      <c r="A632" s="112" t="s">
        <v>1710</v>
      </c>
      <c r="B632" s="112">
        <v>2</v>
      </c>
      <c r="C632" s="115">
        <v>0.005902548934587867</v>
      </c>
      <c r="D632" s="112" t="s">
        <v>239</v>
      </c>
      <c r="E632" s="112" t="b">
        <v>0</v>
      </c>
      <c r="F632" s="112" t="b">
        <v>0</v>
      </c>
      <c r="G632" s="112" t="b">
        <v>0</v>
      </c>
    </row>
    <row r="633" spans="1:7" ht="15">
      <c r="A633" s="112" t="s">
        <v>1711</v>
      </c>
      <c r="B633" s="112">
        <v>2</v>
      </c>
      <c r="C633" s="115">
        <v>0.005902548934587867</v>
      </c>
      <c r="D633" s="112" t="s">
        <v>239</v>
      </c>
      <c r="E633" s="112" t="b">
        <v>0</v>
      </c>
      <c r="F633" s="112" t="b">
        <v>0</v>
      </c>
      <c r="G633" s="112" t="b">
        <v>0</v>
      </c>
    </row>
    <row r="634" spans="1:7" ht="15">
      <c r="A634" s="112" t="s">
        <v>286</v>
      </c>
      <c r="B634" s="112">
        <v>2</v>
      </c>
      <c r="C634" s="115">
        <v>0.005902548934587867</v>
      </c>
      <c r="D634" s="112" t="s">
        <v>239</v>
      </c>
      <c r="E634" s="112" t="b">
        <v>0</v>
      </c>
      <c r="F634" s="112" t="b">
        <v>0</v>
      </c>
      <c r="G634" s="112" t="b">
        <v>0</v>
      </c>
    </row>
    <row r="635" spans="1:7" ht="15">
      <c r="A635" s="112" t="s">
        <v>1712</v>
      </c>
      <c r="B635" s="112">
        <v>2</v>
      </c>
      <c r="C635" s="115">
        <v>0.005902548934587867</v>
      </c>
      <c r="D635" s="112" t="s">
        <v>239</v>
      </c>
      <c r="E635" s="112" t="b">
        <v>0</v>
      </c>
      <c r="F635" s="112" t="b">
        <v>0</v>
      </c>
      <c r="G635" s="112" t="b">
        <v>0</v>
      </c>
    </row>
    <row r="636" spans="1:7" ht="15">
      <c r="A636" s="112" t="s">
        <v>1713</v>
      </c>
      <c r="B636" s="112">
        <v>2</v>
      </c>
      <c r="C636" s="115">
        <v>0.005902548934587867</v>
      </c>
      <c r="D636" s="112" t="s">
        <v>239</v>
      </c>
      <c r="E636" s="112" t="b">
        <v>0</v>
      </c>
      <c r="F636" s="112" t="b">
        <v>0</v>
      </c>
      <c r="G636" s="112" t="b">
        <v>0</v>
      </c>
    </row>
    <row r="637" spans="1:7" ht="15">
      <c r="A637" s="112" t="s">
        <v>1714</v>
      </c>
      <c r="B637" s="112">
        <v>2</v>
      </c>
      <c r="C637" s="115">
        <v>0.005902548934587867</v>
      </c>
      <c r="D637" s="112" t="s">
        <v>239</v>
      </c>
      <c r="E637" s="112" t="b">
        <v>0</v>
      </c>
      <c r="F637" s="112" t="b">
        <v>0</v>
      </c>
      <c r="G637" s="112" t="b">
        <v>0</v>
      </c>
    </row>
    <row r="638" spans="1:7" ht="15">
      <c r="A638" s="112" t="s">
        <v>1452</v>
      </c>
      <c r="B638" s="112">
        <v>2</v>
      </c>
      <c r="C638" s="115">
        <v>0.005902548934587867</v>
      </c>
      <c r="D638" s="112" t="s">
        <v>239</v>
      </c>
      <c r="E638" s="112" t="b">
        <v>0</v>
      </c>
      <c r="F638" s="112" t="b">
        <v>0</v>
      </c>
      <c r="G638" s="112" t="b">
        <v>0</v>
      </c>
    </row>
    <row r="639" spans="1:7" ht="15">
      <c r="A639" s="112" t="s">
        <v>321</v>
      </c>
      <c r="B639" s="112">
        <v>2</v>
      </c>
      <c r="C639" s="115">
        <v>0.005902548934587867</v>
      </c>
      <c r="D639" s="112" t="s">
        <v>239</v>
      </c>
      <c r="E639" s="112" t="b">
        <v>0</v>
      </c>
      <c r="F639" s="112" t="b">
        <v>0</v>
      </c>
      <c r="G639" s="112" t="b">
        <v>0</v>
      </c>
    </row>
    <row r="640" spans="1:7" ht="15">
      <c r="A640" s="112" t="s">
        <v>1518</v>
      </c>
      <c r="B640" s="112">
        <v>2</v>
      </c>
      <c r="C640" s="115">
        <v>0.005902548934587867</v>
      </c>
      <c r="D640" s="112" t="s">
        <v>239</v>
      </c>
      <c r="E640" s="112" t="b">
        <v>0</v>
      </c>
      <c r="F640" s="112" t="b">
        <v>0</v>
      </c>
      <c r="G640" s="112" t="b">
        <v>0</v>
      </c>
    </row>
    <row r="641" spans="1:7" ht="15">
      <c r="A641" s="112" t="s">
        <v>1499</v>
      </c>
      <c r="B641" s="112">
        <v>2</v>
      </c>
      <c r="C641" s="115">
        <v>0.005902548934587867</v>
      </c>
      <c r="D641" s="112" t="s">
        <v>239</v>
      </c>
      <c r="E641" s="112" t="b">
        <v>0</v>
      </c>
      <c r="F641" s="112" t="b">
        <v>0</v>
      </c>
      <c r="G641" s="112" t="b">
        <v>0</v>
      </c>
    </row>
    <row r="642" spans="1:7" ht="15">
      <c r="A642" s="112" t="s">
        <v>1520</v>
      </c>
      <c r="B642" s="112">
        <v>2</v>
      </c>
      <c r="C642" s="115">
        <v>0.005902548934587867</v>
      </c>
      <c r="D642" s="112" t="s">
        <v>239</v>
      </c>
      <c r="E642" s="112" t="b">
        <v>0</v>
      </c>
      <c r="F642" s="112" t="b">
        <v>0</v>
      </c>
      <c r="G642" s="112" t="b">
        <v>0</v>
      </c>
    </row>
    <row r="643" spans="1:7" ht="15">
      <c r="A643" s="112" t="s">
        <v>1471</v>
      </c>
      <c r="B643" s="112">
        <v>2</v>
      </c>
      <c r="C643" s="115">
        <v>0.005902548934587867</v>
      </c>
      <c r="D643" s="112" t="s">
        <v>239</v>
      </c>
      <c r="E643" s="112" t="b">
        <v>0</v>
      </c>
      <c r="F643" s="112" t="b">
        <v>0</v>
      </c>
      <c r="G643" s="112" t="b">
        <v>0</v>
      </c>
    </row>
    <row r="644" spans="1:7" ht="15">
      <c r="A644" s="112" t="s">
        <v>1465</v>
      </c>
      <c r="B644" s="112">
        <v>2</v>
      </c>
      <c r="C644" s="115">
        <v>0.005902548934587867</v>
      </c>
      <c r="D644" s="112" t="s">
        <v>239</v>
      </c>
      <c r="E644" s="112" t="b">
        <v>0</v>
      </c>
      <c r="F644" s="112" t="b">
        <v>0</v>
      </c>
      <c r="G644" s="112" t="b">
        <v>0</v>
      </c>
    </row>
    <row r="645" spans="1:7" ht="15">
      <c r="A645" s="112" t="s">
        <v>1482</v>
      </c>
      <c r="B645" s="112">
        <v>6</v>
      </c>
      <c r="C645" s="115">
        <v>0.02474219142443681</v>
      </c>
      <c r="D645" s="112" t="s">
        <v>240</v>
      </c>
      <c r="E645" s="112" t="b">
        <v>0</v>
      </c>
      <c r="F645" s="112" t="b">
        <v>0</v>
      </c>
      <c r="G645" s="112" t="b">
        <v>0</v>
      </c>
    </row>
    <row r="646" spans="1:7" ht="15">
      <c r="A646" s="112" t="s">
        <v>1453</v>
      </c>
      <c r="B646" s="112">
        <v>5</v>
      </c>
      <c r="C646" s="115">
        <v>0.02061849285369734</v>
      </c>
      <c r="D646" s="112" t="s">
        <v>240</v>
      </c>
      <c r="E646" s="112" t="b">
        <v>1</v>
      </c>
      <c r="F646" s="112" t="b">
        <v>0</v>
      </c>
      <c r="G646" s="112" t="b">
        <v>0</v>
      </c>
    </row>
    <row r="647" spans="1:7" ht="15">
      <c r="A647" s="112" t="s">
        <v>1517</v>
      </c>
      <c r="B647" s="112">
        <v>3</v>
      </c>
      <c r="C647" s="115">
        <v>0.012371095712218404</v>
      </c>
      <c r="D647" s="112" t="s">
        <v>240</v>
      </c>
      <c r="E647" s="112" t="b">
        <v>0</v>
      </c>
      <c r="F647" s="112" t="b">
        <v>0</v>
      </c>
      <c r="G647" s="112" t="b">
        <v>0</v>
      </c>
    </row>
    <row r="648" spans="1:7" ht="15">
      <c r="A648" s="112" t="s">
        <v>1468</v>
      </c>
      <c r="B648" s="112">
        <v>3</v>
      </c>
      <c r="C648" s="115">
        <v>0.012371095712218404</v>
      </c>
      <c r="D648" s="112" t="s">
        <v>240</v>
      </c>
      <c r="E648" s="112" t="b">
        <v>0</v>
      </c>
      <c r="F648" s="112" t="b">
        <v>0</v>
      </c>
      <c r="G648" s="112" t="b">
        <v>0</v>
      </c>
    </row>
    <row r="649" spans="1:7" ht="15">
      <c r="A649" s="112" t="s">
        <v>1450</v>
      </c>
      <c r="B649" s="112">
        <v>2</v>
      </c>
      <c r="C649" s="115">
        <v>0.008247397141478936</v>
      </c>
      <c r="D649" s="112" t="s">
        <v>240</v>
      </c>
      <c r="E649" s="112" t="b">
        <v>0</v>
      </c>
      <c r="F649" s="112" t="b">
        <v>0</v>
      </c>
      <c r="G649" s="112" t="b">
        <v>0</v>
      </c>
    </row>
    <row r="650" spans="1:7" ht="15">
      <c r="A650" s="112" t="s">
        <v>1451</v>
      </c>
      <c r="B650" s="112">
        <v>2</v>
      </c>
      <c r="C650" s="115">
        <v>0.008247397141478936</v>
      </c>
      <c r="D650" s="112" t="s">
        <v>240</v>
      </c>
      <c r="E650" s="112" t="b">
        <v>0</v>
      </c>
      <c r="F650" s="112" t="b">
        <v>0</v>
      </c>
      <c r="G650" s="112" t="b">
        <v>0</v>
      </c>
    </row>
    <row r="651" spans="1:7" ht="15">
      <c r="A651" s="112" t="s">
        <v>1571</v>
      </c>
      <c r="B651" s="112">
        <v>2</v>
      </c>
      <c r="C651" s="115">
        <v>0.008247397141478936</v>
      </c>
      <c r="D651" s="112" t="s">
        <v>240</v>
      </c>
      <c r="E651" s="112" t="b">
        <v>0</v>
      </c>
      <c r="F651" s="112" t="b">
        <v>0</v>
      </c>
      <c r="G651" s="112" t="b">
        <v>0</v>
      </c>
    </row>
    <row r="652" spans="1:7" ht="15">
      <c r="A652" s="112" t="s">
        <v>1719</v>
      </c>
      <c r="B652" s="112">
        <v>2</v>
      </c>
      <c r="C652" s="115">
        <v>0.008247397141478936</v>
      </c>
      <c r="D652" s="112" t="s">
        <v>240</v>
      </c>
      <c r="E652" s="112" t="b">
        <v>0</v>
      </c>
      <c r="F652" s="112" t="b">
        <v>0</v>
      </c>
      <c r="G652" s="112" t="b">
        <v>0</v>
      </c>
    </row>
    <row r="653" spans="1:7" ht="15">
      <c r="A653" s="112" t="s">
        <v>1450</v>
      </c>
      <c r="B653" s="112">
        <v>6</v>
      </c>
      <c r="C653" s="115">
        <v>0</v>
      </c>
      <c r="D653" s="112" t="s">
        <v>241</v>
      </c>
      <c r="E653" s="112" t="b">
        <v>0</v>
      </c>
      <c r="F653" s="112" t="b">
        <v>0</v>
      </c>
      <c r="G653" s="112" t="b">
        <v>0</v>
      </c>
    </row>
    <row r="654" spans="1:7" ht="15">
      <c r="A654" s="112" t="s">
        <v>1454</v>
      </c>
      <c r="B654" s="112">
        <v>4</v>
      </c>
      <c r="C654" s="115">
        <v>0</v>
      </c>
      <c r="D654" s="112" t="s">
        <v>241</v>
      </c>
      <c r="E654" s="112" t="b">
        <v>0</v>
      </c>
      <c r="F654" s="112" t="b">
        <v>0</v>
      </c>
      <c r="G654" s="112" t="b">
        <v>0</v>
      </c>
    </row>
    <row r="655" spans="1:7" ht="15">
      <c r="A655" s="112" t="s">
        <v>293</v>
      </c>
      <c r="B655" s="112">
        <v>2</v>
      </c>
      <c r="C655" s="115">
        <v>0</v>
      </c>
      <c r="D655" s="112" t="s">
        <v>241</v>
      </c>
      <c r="E655" s="112" t="b">
        <v>0</v>
      </c>
      <c r="F655" s="112" t="b">
        <v>0</v>
      </c>
      <c r="G655" s="112" t="b">
        <v>0</v>
      </c>
    </row>
    <row r="656" spans="1:7" ht="15">
      <c r="A656" s="112" t="s">
        <v>1656</v>
      </c>
      <c r="B656" s="112">
        <v>2</v>
      </c>
      <c r="C656" s="115">
        <v>0</v>
      </c>
      <c r="D656" s="112" t="s">
        <v>241</v>
      </c>
      <c r="E656" s="112" t="b">
        <v>1</v>
      </c>
      <c r="F656" s="112" t="b">
        <v>0</v>
      </c>
      <c r="G656" s="112" t="b">
        <v>0</v>
      </c>
    </row>
    <row r="657" spans="1:7" ht="15">
      <c r="A657" s="112" t="s">
        <v>1459</v>
      </c>
      <c r="B657" s="112">
        <v>2</v>
      </c>
      <c r="C657" s="115">
        <v>0</v>
      </c>
      <c r="D657" s="112" t="s">
        <v>241</v>
      </c>
      <c r="E657" s="112" t="b">
        <v>0</v>
      </c>
      <c r="F657" s="112" t="b">
        <v>0</v>
      </c>
      <c r="G657" s="112" t="b">
        <v>0</v>
      </c>
    </row>
    <row r="658" spans="1:7" ht="15">
      <c r="A658" s="112" t="s">
        <v>1560</v>
      </c>
      <c r="B658" s="112">
        <v>2</v>
      </c>
      <c r="C658" s="115">
        <v>0</v>
      </c>
      <c r="D658" s="112" t="s">
        <v>241</v>
      </c>
      <c r="E658" s="112" t="b">
        <v>0</v>
      </c>
      <c r="F658" s="112" t="b">
        <v>0</v>
      </c>
      <c r="G658" s="112" t="b">
        <v>0</v>
      </c>
    </row>
    <row r="659" spans="1:7" ht="15">
      <c r="A659" s="112" t="s">
        <v>1561</v>
      </c>
      <c r="B659" s="112">
        <v>2</v>
      </c>
      <c r="C659" s="115">
        <v>0</v>
      </c>
      <c r="D659" s="112" t="s">
        <v>241</v>
      </c>
      <c r="E659" s="112" t="b">
        <v>0</v>
      </c>
      <c r="F659" s="112" t="b">
        <v>0</v>
      </c>
      <c r="G659" s="112" t="b">
        <v>0</v>
      </c>
    </row>
    <row r="660" spans="1:7" ht="15">
      <c r="A660" s="112" t="s">
        <v>1529</v>
      </c>
      <c r="B660" s="112">
        <v>2</v>
      </c>
      <c r="C660" s="115">
        <v>0</v>
      </c>
      <c r="D660" s="112" t="s">
        <v>241</v>
      </c>
      <c r="E660" s="112" t="b">
        <v>0</v>
      </c>
      <c r="F660" s="112" t="b">
        <v>0</v>
      </c>
      <c r="G660" s="112" t="b">
        <v>0</v>
      </c>
    </row>
    <row r="661" spans="1:7" ht="15">
      <c r="A661" s="112" t="s">
        <v>292</v>
      </c>
      <c r="B661" s="112">
        <v>2</v>
      </c>
      <c r="C661" s="115">
        <v>0</v>
      </c>
      <c r="D661" s="112" t="s">
        <v>241</v>
      </c>
      <c r="E661" s="112" t="b">
        <v>0</v>
      </c>
      <c r="F661" s="112" t="b">
        <v>0</v>
      </c>
      <c r="G661" s="112" t="b">
        <v>0</v>
      </c>
    </row>
    <row r="662" spans="1:7" ht="15">
      <c r="A662" s="112" t="s">
        <v>1450</v>
      </c>
      <c r="B662" s="112">
        <v>5</v>
      </c>
      <c r="C662" s="115">
        <v>0</v>
      </c>
      <c r="D662" s="112" t="s">
        <v>244</v>
      </c>
      <c r="E662" s="112" t="b">
        <v>0</v>
      </c>
      <c r="F662" s="112" t="b">
        <v>0</v>
      </c>
      <c r="G662" s="112" t="b">
        <v>0</v>
      </c>
    </row>
    <row r="663" spans="1:7" ht="15">
      <c r="A663" s="112" t="s">
        <v>1451</v>
      </c>
      <c r="B663" s="112">
        <v>5</v>
      </c>
      <c r="C663" s="115">
        <v>0</v>
      </c>
      <c r="D663" s="112" t="s">
        <v>244</v>
      </c>
      <c r="E663" s="112" t="b">
        <v>0</v>
      </c>
      <c r="F663" s="112" t="b">
        <v>0</v>
      </c>
      <c r="G663" s="112" t="b">
        <v>0</v>
      </c>
    </row>
    <row r="664" spans="1:7" ht="15">
      <c r="A664" s="112" t="s">
        <v>1505</v>
      </c>
      <c r="B664" s="112">
        <v>4</v>
      </c>
      <c r="C664" s="115">
        <v>0</v>
      </c>
      <c r="D664" s="112" t="s">
        <v>244</v>
      </c>
      <c r="E664" s="112" t="b">
        <v>0</v>
      </c>
      <c r="F664" s="112" t="b">
        <v>0</v>
      </c>
      <c r="G664" s="112" t="b">
        <v>0</v>
      </c>
    </row>
    <row r="665" spans="1:7" ht="15">
      <c r="A665" s="112" t="s">
        <v>1542</v>
      </c>
      <c r="B665" s="112">
        <v>3</v>
      </c>
      <c r="C665" s="115">
        <v>0</v>
      </c>
      <c r="D665" s="112" t="s">
        <v>244</v>
      </c>
      <c r="E665" s="112" t="b">
        <v>0</v>
      </c>
      <c r="F665" s="112" t="b">
        <v>0</v>
      </c>
      <c r="G665" s="112" t="b">
        <v>0</v>
      </c>
    </row>
    <row r="666" spans="1:7" ht="15">
      <c r="A666" s="112" t="s">
        <v>1506</v>
      </c>
      <c r="B666" s="112">
        <v>3</v>
      </c>
      <c r="C666" s="115">
        <v>0</v>
      </c>
      <c r="D666" s="112" t="s">
        <v>244</v>
      </c>
      <c r="E666" s="112" t="b">
        <v>0</v>
      </c>
      <c r="F666" s="112" t="b">
        <v>0</v>
      </c>
      <c r="G666" s="112" t="b">
        <v>0</v>
      </c>
    </row>
    <row r="667" spans="1:7" ht="15">
      <c r="A667" s="112" t="s">
        <v>296</v>
      </c>
      <c r="B667" s="112">
        <v>2</v>
      </c>
      <c r="C667" s="115">
        <v>0</v>
      </c>
      <c r="D667" s="112" t="s">
        <v>244</v>
      </c>
      <c r="E667" s="112" t="b">
        <v>0</v>
      </c>
      <c r="F667" s="112" t="b">
        <v>0</v>
      </c>
      <c r="G667" s="112" t="b">
        <v>0</v>
      </c>
    </row>
    <row r="668" spans="1:7" ht="15">
      <c r="A668" s="112" t="s">
        <v>1619</v>
      </c>
      <c r="B668" s="112">
        <v>2</v>
      </c>
      <c r="C668" s="115">
        <v>0</v>
      </c>
      <c r="D668" s="112" t="s">
        <v>244</v>
      </c>
      <c r="E668" s="112" t="b">
        <v>0</v>
      </c>
      <c r="F668" s="112" t="b">
        <v>0</v>
      </c>
      <c r="G668" s="112" t="b">
        <v>0</v>
      </c>
    </row>
    <row r="669" spans="1:7" ht="15">
      <c r="A669" s="112" t="s">
        <v>1462</v>
      </c>
      <c r="B669" s="112">
        <v>2</v>
      </c>
      <c r="C669" s="115">
        <v>0</v>
      </c>
      <c r="D669" s="112" t="s">
        <v>244</v>
      </c>
      <c r="E669" s="112" t="b">
        <v>0</v>
      </c>
      <c r="F669" s="112" t="b">
        <v>0</v>
      </c>
      <c r="G669" s="112" t="b">
        <v>0</v>
      </c>
    </row>
    <row r="670" spans="1:7" ht="15">
      <c r="A670" s="112" t="s">
        <v>1620</v>
      </c>
      <c r="B670" s="112">
        <v>2</v>
      </c>
      <c r="C670" s="115">
        <v>0</v>
      </c>
      <c r="D670" s="112" t="s">
        <v>244</v>
      </c>
      <c r="E670" s="112" t="b">
        <v>1</v>
      </c>
      <c r="F670" s="112" t="b">
        <v>0</v>
      </c>
      <c r="G670" s="112" t="b">
        <v>0</v>
      </c>
    </row>
    <row r="671" spans="1:7" ht="15">
      <c r="A671" s="112" t="s">
        <v>1621</v>
      </c>
      <c r="B671" s="112">
        <v>2</v>
      </c>
      <c r="C671" s="115">
        <v>0</v>
      </c>
      <c r="D671" s="112" t="s">
        <v>244</v>
      </c>
      <c r="E671" s="112" t="b">
        <v>0</v>
      </c>
      <c r="F671" s="112" t="b">
        <v>0</v>
      </c>
      <c r="G671" s="112" t="b">
        <v>0</v>
      </c>
    </row>
    <row r="672" spans="1:7" ht="15">
      <c r="A672" s="112" t="s">
        <v>1474</v>
      </c>
      <c r="B672" s="112">
        <v>2</v>
      </c>
      <c r="C672" s="115">
        <v>0</v>
      </c>
      <c r="D672" s="112" t="s">
        <v>244</v>
      </c>
      <c r="E672" s="112" t="b">
        <v>0</v>
      </c>
      <c r="F672" s="112" t="b">
        <v>0</v>
      </c>
      <c r="G672" s="112" t="b">
        <v>0</v>
      </c>
    </row>
    <row r="673" spans="1:7" ht="15">
      <c r="A673" s="112" t="s">
        <v>1450</v>
      </c>
      <c r="B673" s="112">
        <v>6</v>
      </c>
      <c r="C673" s="115">
        <v>0</v>
      </c>
      <c r="D673" s="112" t="s">
        <v>246</v>
      </c>
      <c r="E673" s="112" t="b">
        <v>0</v>
      </c>
      <c r="F673" s="112" t="b">
        <v>0</v>
      </c>
      <c r="G673" s="112" t="b">
        <v>0</v>
      </c>
    </row>
    <row r="674" spans="1:7" ht="15">
      <c r="A674" s="112" t="s">
        <v>1454</v>
      </c>
      <c r="B674" s="112">
        <v>4</v>
      </c>
      <c r="C674" s="115">
        <v>0</v>
      </c>
      <c r="D674" s="112" t="s">
        <v>246</v>
      </c>
      <c r="E674" s="112" t="b">
        <v>0</v>
      </c>
      <c r="F674" s="112" t="b">
        <v>0</v>
      </c>
      <c r="G674" s="112" t="b">
        <v>0</v>
      </c>
    </row>
    <row r="675" spans="1:7" ht="15">
      <c r="A675" s="112" t="s">
        <v>1459</v>
      </c>
      <c r="B675" s="112">
        <v>3</v>
      </c>
      <c r="C675" s="115">
        <v>0</v>
      </c>
      <c r="D675" s="112" t="s">
        <v>246</v>
      </c>
      <c r="E675" s="112" t="b">
        <v>0</v>
      </c>
      <c r="F675" s="112" t="b">
        <v>0</v>
      </c>
      <c r="G675" s="112" t="b">
        <v>0</v>
      </c>
    </row>
    <row r="676" spans="1:7" ht="15">
      <c r="A676" s="112" t="s">
        <v>293</v>
      </c>
      <c r="B676" s="112">
        <v>2</v>
      </c>
      <c r="C676" s="115">
        <v>0</v>
      </c>
      <c r="D676" s="112" t="s">
        <v>246</v>
      </c>
      <c r="E676" s="112" t="b">
        <v>0</v>
      </c>
      <c r="F676" s="112" t="b">
        <v>0</v>
      </c>
      <c r="G676" s="112" t="b">
        <v>0</v>
      </c>
    </row>
    <row r="677" spans="1:7" ht="15">
      <c r="A677" s="112" t="s">
        <v>1490</v>
      </c>
      <c r="B677" s="112">
        <v>4</v>
      </c>
      <c r="C677" s="115">
        <v>0.016494794282957873</v>
      </c>
      <c r="D677" s="112" t="s">
        <v>247</v>
      </c>
      <c r="E677" s="112" t="b">
        <v>0</v>
      </c>
      <c r="F677" s="112" t="b">
        <v>0</v>
      </c>
      <c r="G677" s="112" t="b">
        <v>0</v>
      </c>
    </row>
    <row r="678" spans="1:7" ht="15">
      <c r="A678" s="112" t="s">
        <v>1478</v>
      </c>
      <c r="B678" s="112">
        <v>3</v>
      </c>
      <c r="C678" s="115">
        <v>0</v>
      </c>
      <c r="D678" s="112" t="s">
        <v>247</v>
      </c>
      <c r="E678" s="112" t="b">
        <v>0</v>
      </c>
      <c r="F678" s="112" t="b">
        <v>0</v>
      </c>
      <c r="G678" s="112" t="b">
        <v>0</v>
      </c>
    </row>
    <row r="679" spans="1:7" ht="15">
      <c r="A679" s="112" t="s">
        <v>307</v>
      </c>
      <c r="B679" s="112">
        <v>3</v>
      </c>
      <c r="C679" s="115">
        <v>0.012371095712218404</v>
      </c>
      <c r="D679" s="112" t="s">
        <v>247</v>
      </c>
      <c r="E679" s="112" t="b">
        <v>0</v>
      </c>
      <c r="F679" s="112" t="b">
        <v>0</v>
      </c>
      <c r="G679" s="112" t="b">
        <v>0</v>
      </c>
    </row>
    <row r="680" spans="1:7" ht="15">
      <c r="A680" s="112" t="s">
        <v>1480</v>
      </c>
      <c r="B680" s="112">
        <v>3</v>
      </c>
      <c r="C680" s="115">
        <v>0.012371095712218404</v>
      </c>
      <c r="D680" s="112" t="s">
        <v>247</v>
      </c>
      <c r="E680" s="112" t="b">
        <v>0</v>
      </c>
      <c r="F680" s="112" t="b">
        <v>0</v>
      </c>
      <c r="G680" s="112" t="b">
        <v>0</v>
      </c>
    </row>
    <row r="681" spans="1:7" ht="15">
      <c r="A681" s="112" t="s">
        <v>1569</v>
      </c>
      <c r="B681" s="112">
        <v>2</v>
      </c>
      <c r="C681" s="115">
        <v>0</v>
      </c>
      <c r="D681" s="112" t="s">
        <v>247</v>
      </c>
      <c r="E681" s="112" t="b">
        <v>0</v>
      </c>
      <c r="F681" s="112" t="b">
        <v>0</v>
      </c>
      <c r="G681" s="112" t="b">
        <v>0</v>
      </c>
    </row>
    <row r="682" spans="1:7" ht="15">
      <c r="A682" s="112" t="s">
        <v>1461</v>
      </c>
      <c r="B682" s="112">
        <v>2</v>
      </c>
      <c r="C682" s="115">
        <v>0</v>
      </c>
      <c r="D682" s="112" t="s">
        <v>247</v>
      </c>
      <c r="E682" s="112" t="b">
        <v>0</v>
      </c>
      <c r="F682" s="112" t="b">
        <v>0</v>
      </c>
      <c r="G682" s="112" t="b">
        <v>0</v>
      </c>
    </row>
    <row r="683" spans="1:7" ht="15">
      <c r="A683" s="112" t="s">
        <v>1676</v>
      </c>
      <c r="B683" s="112">
        <v>2</v>
      </c>
      <c r="C683" s="115">
        <v>0</v>
      </c>
      <c r="D683" s="112" t="s">
        <v>247</v>
      </c>
      <c r="E683" s="112" t="b">
        <v>0</v>
      </c>
      <c r="F683" s="112" t="b">
        <v>0</v>
      </c>
      <c r="G683" s="112" t="b">
        <v>0</v>
      </c>
    </row>
    <row r="684" spans="1:7" ht="15">
      <c r="A684" s="112" t="s">
        <v>1674</v>
      </c>
      <c r="B684" s="112">
        <v>2</v>
      </c>
      <c r="C684" s="115">
        <v>0.008247397141478936</v>
      </c>
      <c r="D684" s="112" t="s">
        <v>247</v>
      </c>
      <c r="E684" s="112" t="b">
        <v>0</v>
      </c>
      <c r="F684" s="112" t="b">
        <v>0</v>
      </c>
      <c r="G684" s="112" t="b">
        <v>0</v>
      </c>
    </row>
    <row r="685" spans="1:7" ht="15">
      <c r="A685" s="112" t="s">
        <v>1675</v>
      </c>
      <c r="B685" s="112">
        <v>2</v>
      </c>
      <c r="C685" s="115">
        <v>0.008247397141478936</v>
      </c>
      <c r="D685" s="112" t="s">
        <v>247</v>
      </c>
      <c r="E685" s="112" t="b">
        <v>0</v>
      </c>
      <c r="F685" s="112" t="b">
        <v>0</v>
      </c>
      <c r="G685" s="112" t="b">
        <v>0</v>
      </c>
    </row>
    <row r="686" spans="1:7" ht="15">
      <c r="A686" s="112" t="s">
        <v>1512</v>
      </c>
      <c r="B686" s="112">
        <v>2</v>
      </c>
      <c r="C686" s="115">
        <v>0.008247397141478936</v>
      </c>
      <c r="D686" s="112" t="s">
        <v>247</v>
      </c>
      <c r="E686" s="112" t="b">
        <v>0</v>
      </c>
      <c r="F686" s="112" t="b">
        <v>0</v>
      </c>
      <c r="G686" s="112" t="b">
        <v>0</v>
      </c>
    </row>
    <row r="687" spans="1:7" ht="15">
      <c r="A687" s="112" t="s">
        <v>294</v>
      </c>
      <c r="B687" s="112">
        <v>2</v>
      </c>
      <c r="C687" s="115">
        <v>0.008247397141478936</v>
      </c>
      <c r="D687" s="112" t="s">
        <v>247</v>
      </c>
      <c r="E687" s="112" t="b">
        <v>0</v>
      </c>
      <c r="F687" s="112" t="b">
        <v>0</v>
      </c>
      <c r="G687" s="112" t="b">
        <v>0</v>
      </c>
    </row>
    <row r="688" spans="1:7" ht="15">
      <c r="A688" s="112" t="s">
        <v>1548</v>
      </c>
      <c r="B688" s="112">
        <v>2</v>
      </c>
      <c r="C688" s="115">
        <v>0.008247397141478936</v>
      </c>
      <c r="D688" s="112" t="s">
        <v>247</v>
      </c>
      <c r="E688" s="112" t="b">
        <v>0</v>
      </c>
      <c r="F688" s="112" t="b">
        <v>0</v>
      </c>
      <c r="G688" s="112" t="b">
        <v>0</v>
      </c>
    </row>
    <row r="689" spans="1:7" ht="15">
      <c r="A689" s="112" t="s">
        <v>1575</v>
      </c>
      <c r="B689" s="112">
        <v>3</v>
      </c>
      <c r="C689" s="115">
        <v>0.025085832971998432</v>
      </c>
      <c r="D689" s="112" t="s">
        <v>248</v>
      </c>
      <c r="E689" s="112" t="b">
        <v>0</v>
      </c>
      <c r="F689" s="112" t="b">
        <v>0</v>
      </c>
      <c r="G689" s="112" t="b">
        <v>0</v>
      </c>
    </row>
    <row r="690" spans="1:7" ht="15">
      <c r="A690" s="112" t="s">
        <v>1690</v>
      </c>
      <c r="B690" s="112">
        <v>2</v>
      </c>
      <c r="C690" s="115">
        <v>0</v>
      </c>
      <c r="D690" s="112" t="s">
        <v>248</v>
      </c>
      <c r="E690" s="112" t="b">
        <v>0</v>
      </c>
      <c r="F690" s="112" t="b">
        <v>0</v>
      </c>
      <c r="G690" s="112" t="b">
        <v>0</v>
      </c>
    </row>
    <row r="691" spans="1:7" ht="15">
      <c r="A691" s="112" t="s">
        <v>1692</v>
      </c>
      <c r="B691" s="112">
        <v>2</v>
      </c>
      <c r="C691" s="115">
        <v>0.016723888647998956</v>
      </c>
      <c r="D691" s="112" t="s">
        <v>248</v>
      </c>
      <c r="E691" s="112" t="b">
        <v>0</v>
      </c>
      <c r="F691" s="112" t="b">
        <v>0</v>
      </c>
      <c r="G691" s="112" t="b">
        <v>0</v>
      </c>
    </row>
    <row r="692" spans="1:7" ht="15">
      <c r="A692" s="112" t="s">
        <v>1691</v>
      </c>
      <c r="B692" s="112">
        <v>2</v>
      </c>
      <c r="C692" s="115">
        <v>0.016723888647998956</v>
      </c>
      <c r="D692" s="112" t="s">
        <v>248</v>
      </c>
      <c r="E692" s="112" t="b">
        <v>0</v>
      </c>
      <c r="F692" s="112" t="b">
        <v>0</v>
      </c>
      <c r="G692" s="112" t="b">
        <v>0</v>
      </c>
    </row>
    <row r="693" spans="1:7" ht="15">
      <c r="A693" s="112" t="s">
        <v>1479</v>
      </c>
      <c r="B693" s="112">
        <v>3</v>
      </c>
      <c r="C693" s="115">
        <v>0</v>
      </c>
      <c r="D693" s="112" t="s">
        <v>249</v>
      </c>
      <c r="E693" s="112" t="b">
        <v>0</v>
      </c>
      <c r="F693" s="112" t="b">
        <v>0</v>
      </c>
      <c r="G693" s="112" t="b">
        <v>0</v>
      </c>
    </row>
    <row r="694" spans="1:7" ht="15">
      <c r="A694" s="112" t="s">
        <v>1450</v>
      </c>
      <c r="B694" s="112">
        <v>2</v>
      </c>
      <c r="C694" s="115">
        <v>0</v>
      </c>
      <c r="D694" s="112" t="s">
        <v>249</v>
      </c>
      <c r="E694" s="112" t="b">
        <v>0</v>
      </c>
      <c r="F694" s="112" t="b">
        <v>0</v>
      </c>
      <c r="G694" s="112" t="b">
        <v>0</v>
      </c>
    </row>
    <row r="695" spans="1:7" ht="15">
      <c r="A695" s="112" t="s">
        <v>1451</v>
      </c>
      <c r="B695" s="112">
        <v>2</v>
      </c>
      <c r="C695" s="115">
        <v>0</v>
      </c>
      <c r="D695" s="112" t="s">
        <v>249</v>
      </c>
      <c r="E695" s="112" t="b">
        <v>0</v>
      </c>
      <c r="F695" s="112" t="b">
        <v>0</v>
      </c>
      <c r="G695" s="112" t="b">
        <v>0</v>
      </c>
    </row>
    <row r="696" spans="1:7" ht="15">
      <c r="A696" s="112" t="s">
        <v>1453</v>
      </c>
      <c r="B696" s="112">
        <v>6</v>
      </c>
      <c r="C696" s="115">
        <v>0</v>
      </c>
      <c r="D696" s="112" t="s">
        <v>251</v>
      </c>
      <c r="E696" s="112" t="b">
        <v>1</v>
      </c>
      <c r="F696" s="112" t="b">
        <v>0</v>
      </c>
      <c r="G696" s="112" t="b">
        <v>0</v>
      </c>
    </row>
    <row r="697" spans="1:7" ht="15">
      <c r="A697" s="112" t="s">
        <v>293</v>
      </c>
      <c r="B697" s="112">
        <v>4</v>
      </c>
      <c r="C697" s="115">
        <v>0</v>
      </c>
      <c r="D697" s="112" t="s">
        <v>251</v>
      </c>
      <c r="E697" s="112" t="b">
        <v>0</v>
      </c>
      <c r="F697" s="112" t="b">
        <v>0</v>
      </c>
      <c r="G697" s="112" t="b">
        <v>0</v>
      </c>
    </row>
    <row r="698" spans="1:7" ht="15">
      <c r="A698" s="112" t="s">
        <v>1491</v>
      </c>
      <c r="B698" s="112">
        <v>4</v>
      </c>
      <c r="C698" s="115">
        <v>0</v>
      </c>
      <c r="D698" s="112" t="s">
        <v>251</v>
      </c>
      <c r="E698" s="112" t="b">
        <v>0</v>
      </c>
      <c r="F698" s="112" t="b">
        <v>0</v>
      </c>
      <c r="G698" s="112" t="b">
        <v>0</v>
      </c>
    </row>
    <row r="699" spans="1:7" ht="15">
      <c r="A699" s="112" t="s">
        <v>298</v>
      </c>
      <c r="B699" s="112">
        <v>4</v>
      </c>
      <c r="C699" s="115">
        <v>0</v>
      </c>
      <c r="D699" s="112" t="s">
        <v>251</v>
      </c>
      <c r="E699" s="112" t="b">
        <v>0</v>
      </c>
      <c r="F699" s="112" t="b">
        <v>0</v>
      </c>
      <c r="G699" s="112" t="b">
        <v>0</v>
      </c>
    </row>
    <row r="700" spans="1:7" ht="15">
      <c r="A700" s="112" t="s">
        <v>1511</v>
      </c>
      <c r="B700" s="112">
        <v>2</v>
      </c>
      <c r="C700" s="115">
        <v>0</v>
      </c>
      <c r="D700" s="112" t="s">
        <v>251</v>
      </c>
      <c r="E700" s="112" t="b">
        <v>0</v>
      </c>
      <c r="F700" s="112" t="b">
        <v>0</v>
      </c>
      <c r="G700" s="112" t="b">
        <v>0</v>
      </c>
    </row>
    <row r="701" spans="1:7" ht="15">
      <c r="A701" s="112" t="s">
        <v>1533</v>
      </c>
      <c r="B701" s="112">
        <v>2</v>
      </c>
      <c r="C701" s="115">
        <v>0</v>
      </c>
      <c r="D701" s="112" t="s">
        <v>251</v>
      </c>
      <c r="E701" s="112" t="b">
        <v>0</v>
      </c>
      <c r="F701" s="112" t="b">
        <v>0</v>
      </c>
      <c r="G701" s="112" t="b">
        <v>0</v>
      </c>
    </row>
    <row r="702" spans="1:7" ht="15">
      <c r="A702" s="112" t="s">
        <v>1508</v>
      </c>
      <c r="B702" s="112">
        <v>2</v>
      </c>
      <c r="C702" s="115">
        <v>0</v>
      </c>
      <c r="D702" s="112" t="s">
        <v>251</v>
      </c>
      <c r="E702" s="112" t="b">
        <v>0</v>
      </c>
      <c r="F702" s="112" t="b">
        <v>0</v>
      </c>
      <c r="G702" s="112" t="b">
        <v>0</v>
      </c>
    </row>
    <row r="703" spans="1:7" ht="15">
      <c r="A703" s="112" t="s">
        <v>1509</v>
      </c>
      <c r="B703" s="112">
        <v>2</v>
      </c>
      <c r="C703" s="115">
        <v>0</v>
      </c>
      <c r="D703" s="112" t="s">
        <v>251</v>
      </c>
      <c r="E703" s="112" t="b">
        <v>0</v>
      </c>
      <c r="F703" s="112" t="b">
        <v>0</v>
      </c>
      <c r="G703" s="112" t="b">
        <v>0</v>
      </c>
    </row>
    <row r="704" spans="1:7" ht="15">
      <c r="A704" s="112" t="s">
        <v>1468</v>
      </c>
      <c r="B704" s="112">
        <v>2</v>
      </c>
      <c r="C704" s="115">
        <v>0</v>
      </c>
      <c r="D704" s="112" t="s">
        <v>251</v>
      </c>
      <c r="E704" s="112" t="b">
        <v>0</v>
      </c>
      <c r="F704" s="112" t="b">
        <v>0</v>
      </c>
      <c r="G704" s="112" t="b">
        <v>0</v>
      </c>
    </row>
    <row r="705" spans="1:7" ht="15">
      <c r="A705" s="112" t="s">
        <v>1470</v>
      </c>
      <c r="B705" s="112">
        <v>2</v>
      </c>
      <c r="C705" s="115">
        <v>0</v>
      </c>
      <c r="D705" s="112" t="s">
        <v>251</v>
      </c>
      <c r="E705" s="112" t="b">
        <v>0</v>
      </c>
      <c r="F705" s="112" t="b">
        <v>0</v>
      </c>
      <c r="G705" s="112" t="b">
        <v>0</v>
      </c>
    </row>
    <row r="706" spans="1:7" ht="15">
      <c r="A706" s="112" t="s">
        <v>1685</v>
      </c>
      <c r="B706" s="112">
        <v>2</v>
      </c>
      <c r="C706" s="115">
        <v>0</v>
      </c>
      <c r="D706" s="112" t="s">
        <v>251</v>
      </c>
      <c r="E706" s="112" t="b">
        <v>0</v>
      </c>
      <c r="F706" s="112" t="b">
        <v>0</v>
      </c>
      <c r="G706" s="112" t="b">
        <v>0</v>
      </c>
    </row>
    <row r="707" spans="1:7" ht="15">
      <c r="A707" s="112" t="s">
        <v>1686</v>
      </c>
      <c r="B707" s="112">
        <v>2</v>
      </c>
      <c r="C707" s="115">
        <v>0</v>
      </c>
      <c r="D707" s="112" t="s">
        <v>251</v>
      </c>
      <c r="E707" s="112" t="b">
        <v>0</v>
      </c>
      <c r="F707" s="112" t="b">
        <v>0</v>
      </c>
      <c r="G707" s="112" t="b">
        <v>0</v>
      </c>
    </row>
    <row r="708" spans="1:7" ht="15">
      <c r="A708" s="112" t="s">
        <v>1687</v>
      </c>
      <c r="B708" s="112">
        <v>2</v>
      </c>
      <c r="C708" s="115">
        <v>0</v>
      </c>
      <c r="D708" s="112" t="s">
        <v>251</v>
      </c>
      <c r="E708" s="112" t="b">
        <v>0</v>
      </c>
      <c r="F708" s="112" t="b">
        <v>0</v>
      </c>
      <c r="G708" s="112" t="b">
        <v>0</v>
      </c>
    </row>
    <row r="709" spans="1:7" ht="15">
      <c r="A709" s="112" t="s">
        <v>312</v>
      </c>
      <c r="B709" s="112">
        <v>2</v>
      </c>
      <c r="C709" s="115">
        <v>0</v>
      </c>
      <c r="D709" s="112" t="s">
        <v>251</v>
      </c>
      <c r="E709" s="112" t="b">
        <v>0</v>
      </c>
      <c r="F709" s="112" t="b">
        <v>0</v>
      </c>
      <c r="G709" s="112" t="b">
        <v>0</v>
      </c>
    </row>
    <row r="710" spans="1:7" ht="15">
      <c r="A710" s="112" t="s">
        <v>306</v>
      </c>
      <c r="B710" s="112">
        <v>2</v>
      </c>
      <c r="C710" s="115">
        <v>0</v>
      </c>
      <c r="D710" s="112" t="s">
        <v>251</v>
      </c>
      <c r="E710" s="112" t="b">
        <v>0</v>
      </c>
      <c r="F710" s="112" t="b">
        <v>0</v>
      </c>
      <c r="G710" s="112" t="b">
        <v>0</v>
      </c>
    </row>
    <row r="711" spans="1:7" ht="15">
      <c r="A711" s="112" t="s">
        <v>322</v>
      </c>
      <c r="B711" s="112">
        <v>2</v>
      </c>
      <c r="C711" s="115">
        <v>0</v>
      </c>
      <c r="D711" s="112" t="s">
        <v>251</v>
      </c>
      <c r="E711" s="112" t="b">
        <v>1</v>
      </c>
      <c r="F711" s="112" t="b">
        <v>0</v>
      </c>
      <c r="G711" s="112" t="b">
        <v>0</v>
      </c>
    </row>
    <row r="712" spans="1:7" ht="15">
      <c r="A712" s="112" t="s">
        <v>1516</v>
      </c>
      <c r="B712" s="112">
        <v>2</v>
      </c>
      <c r="C712" s="115">
        <v>0</v>
      </c>
      <c r="D712" s="112" t="s">
        <v>251</v>
      </c>
      <c r="E712" s="112" t="b">
        <v>0</v>
      </c>
      <c r="F712" s="112" t="b">
        <v>0</v>
      </c>
      <c r="G712" s="112" t="b">
        <v>0</v>
      </c>
    </row>
    <row r="713" spans="1:7" ht="15">
      <c r="A713" s="112" t="s">
        <v>287</v>
      </c>
      <c r="B713" s="112">
        <v>2</v>
      </c>
      <c r="C713" s="115">
        <v>0</v>
      </c>
      <c r="D713" s="112" t="s">
        <v>251</v>
      </c>
      <c r="E713" s="112" t="b">
        <v>0</v>
      </c>
      <c r="F713" s="112" t="b">
        <v>0</v>
      </c>
      <c r="G713" s="112" t="b">
        <v>0</v>
      </c>
    </row>
    <row r="714" spans="1:7" ht="15">
      <c r="A714" s="112" t="s">
        <v>316</v>
      </c>
      <c r="B714" s="112">
        <v>2</v>
      </c>
      <c r="C714" s="115">
        <v>0</v>
      </c>
      <c r="D714" s="112" t="s">
        <v>251</v>
      </c>
      <c r="E714" s="112" t="b">
        <v>0</v>
      </c>
      <c r="F714" s="112" t="b">
        <v>0</v>
      </c>
      <c r="G714" s="112" t="b">
        <v>0</v>
      </c>
    </row>
    <row r="715" spans="1:7" ht="15">
      <c r="A715" s="112" t="s">
        <v>1464</v>
      </c>
      <c r="B715" s="112">
        <v>2</v>
      </c>
      <c r="C715" s="115">
        <v>0</v>
      </c>
      <c r="D715" s="112" t="s">
        <v>251</v>
      </c>
      <c r="E715" s="112" t="b">
        <v>0</v>
      </c>
      <c r="F715" s="112" t="b">
        <v>0</v>
      </c>
      <c r="G715" s="112" t="b">
        <v>0</v>
      </c>
    </row>
    <row r="716" spans="1:7" ht="15">
      <c r="A716" s="112" t="s">
        <v>1485</v>
      </c>
      <c r="B716" s="112">
        <v>3</v>
      </c>
      <c r="C716" s="115">
        <v>0</v>
      </c>
      <c r="D716" s="112" t="s">
        <v>252</v>
      </c>
      <c r="E716" s="112" t="b">
        <v>0</v>
      </c>
      <c r="F716" s="112" t="b">
        <v>0</v>
      </c>
      <c r="G716" s="112" t="b">
        <v>0</v>
      </c>
    </row>
    <row r="717" spans="1:7" ht="15">
      <c r="A717" s="112" t="s">
        <v>1666</v>
      </c>
      <c r="B717" s="112">
        <v>2</v>
      </c>
      <c r="C717" s="115">
        <v>0</v>
      </c>
      <c r="D717" s="112" t="s">
        <v>252</v>
      </c>
      <c r="E717" s="112" t="b">
        <v>0</v>
      </c>
      <c r="F717" s="112" t="b">
        <v>0</v>
      </c>
      <c r="G717" s="112" t="b">
        <v>0</v>
      </c>
    </row>
    <row r="718" spans="1:7" ht="15">
      <c r="A718" s="112" t="s">
        <v>1489</v>
      </c>
      <c r="B718" s="112">
        <v>2</v>
      </c>
      <c r="C718" s="115">
        <v>0</v>
      </c>
      <c r="D718" s="112" t="s">
        <v>252</v>
      </c>
      <c r="E718" s="112" t="b">
        <v>0</v>
      </c>
      <c r="F718" s="112" t="b">
        <v>0</v>
      </c>
      <c r="G718" s="112" t="b">
        <v>0</v>
      </c>
    </row>
    <row r="719" spans="1:7" ht="15">
      <c r="A719" s="112" t="s">
        <v>1668</v>
      </c>
      <c r="B719" s="112">
        <v>2</v>
      </c>
      <c r="C719" s="115">
        <v>0</v>
      </c>
      <c r="D719" s="112" t="s">
        <v>252</v>
      </c>
      <c r="E719" s="112" t="b">
        <v>0</v>
      </c>
      <c r="F719" s="112" t="b">
        <v>0</v>
      </c>
      <c r="G719" s="112" t="b">
        <v>0</v>
      </c>
    </row>
    <row r="720" spans="1:7" ht="15">
      <c r="A720" s="112" t="s">
        <v>1670</v>
      </c>
      <c r="B720" s="112">
        <v>2</v>
      </c>
      <c r="C720" s="115">
        <v>0</v>
      </c>
      <c r="D720" s="112" t="s">
        <v>252</v>
      </c>
      <c r="E720" s="112" t="b">
        <v>0</v>
      </c>
      <c r="F720" s="112" t="b">
        <v>0</v>
      </c>
      <c r="G720" s="112" t="b">
        <v>0</v>
      </c>
    </row>
    <row r="721" spans="1:7" ht="15">
      <c r="A721" s="112" t="s">
        <v>1450</v>
      </c>
      <c r="B721" s="112">
        <v>2</v>
      </c>
      <c r="C721" s="115">
        <v>0</v>
      </c>
      <c r="D721" s="112" t="s">
        <v>256</v>
      </c>
      <c r="E721" s="112" t="b">
        <v>0</v>
      </c>
      <c r="F721" s="112" t="b">
        <v>0</v>
      </c>
      <c r="G721" s="112" t="b">
        <v>0</v>
      </c>
    </row>
    <row r="722" spans="1:7" ht="15">
      <c r="A722" s="112" t="s">
        <v>1451</v>
      </c>
      <c r="B722" s="112">
        <v>2</v>
      </c>
      <c r="C722" s="115">
        <v>0</v>
      </c>
      <c r="D722" s="112" t="s">
        <v>256</v>
      </c>
      <c r="E722" s="112" t="b">
        <v>0</v>
      </c>
      <c r="F722" s="112" t="b">
        <v>0</v>
      </c>
      <c r="G722" s="11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DCE88-A354-45C7-AC27-34CF4103CC51}">
  <dimension ref="A1:L1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333</v>
      </c>
      <c r="B1" s="13" t="s">
        <v>334</v>
      </c>
      <c r="C1" s="13" t="s">
        <v>324</v>
      </c>
      <c r="D1" s="13" t="s">
        <v>328</v>
      </c>
      <c r="E1" s="13" t="s">
        <v>335</v>
      </c>
      <c r="F1" s="13" t="s">
        <v>144</v>
      </c>
      <c r="G1" s="13" t="s">
        <v>336</v>
      </c>
      <c r="H1" s="13" t="s">
        <v>337</v>
      </c>
      <c r="I1" s="13" t="s">
        <v>338</v>
      </c>
      <c r="J1" s="13" t="s">
        <v>339</v>
      </c>
      <c r="K1" s="13" t="s">
        <v>340</v>
      </c>
      <c r="L1" s="13" t="s">
        <v>341</v>
      </c>
    </row>
    <row r="2" spans="1:12" ht="15">
      <c r="A2" s="112" t="s">
        <v>1450</v>
      </c>
      <c r="B2" s="112" t="s">
        <v>1451</v>
      </c>
      <c r="C2" s="112">
        <v>65</v>
      </c>
      <c r="D2" s="115">
        <v>0.008593106817222675</v>
      </c>
      <c r="E2" s="115">
        <v>1.446305291302166</v>
      </c>
      <c r="F2" s="112" t="s">
        <v>329</v>
      </c>
      <c r="G2" s="112" t="b">
        <v>0</v>
      </c>
      <c r="H2" s="112" t="b">
        <v>0</v>
      </c>
      <c r="I2" s="112" t="b">
        <v>0</v>
      </c>
      <c r="J2" s="112" t="b">
        <v>0</v>
      </c>
      <c r="K2" s="112" t="b">
        <v>0</v>
      </c>
      <c r="L2" s="112" t="b">
        <v>0</v>
      </c>
    </row>
    <row r="3" spans="1:12" ht="15">
      <c r="A3" s="112" t="s">
        <v>1452</v>
      </c>
      <c r="B3" s="112" t="s">
        <v>1455</v>
      </c>
      <c r="C3" s="112">
        <v>9</v>
      </c>
      <c r="D3" s="115">
        <v>0.004163185532894934</v>
      </c>
      <c r="E3" s="115">
        <v>1.5053239396608673</v>
      </c>
      <c r="F3" s="112" t="s">
        <v>329</v>
      </c>
      <c r="G3" s="112" t="b">
        <v>0</v>
      </c>
      <c r="H3" s="112" t="b">
        <v>0</v>
      </c>
      <c r="I3" s="112" t="b">
        <v>0</v>
      </c>
      <c r="J3" s="112" t="b">
        <v>0</v>
      </c>
      <c r="K3" s="112" t="b">
        <v>0</v>
      </c>
      <c r="L3" s="112" t="b">
        <v>0</v>
      </c>
    </row>
    <row r="4" spans="1:12" ht="15">
      <c r="A4" s="112" t="s">
        <v>1454</v>
      </c>
      <c r="B4" s="112" t="s">
        <v>1450</v>
      </c>
      <c r="C4" s="112">
        <v>8</v>
      </c>
      <c r="D4" s="115">
        <v>0.003397528790225952</v>
      </c>
      <c r="E4" s="115">
        <v>0.8396106865867434</v>
      </c>
      <c r="F4" s="112" t="s">
        <v>329</v>
      </c>
      <c r="G4" s="112" t="b">
        <v>0</v>
      </c>
      <c r="H4" s="112" t="b">
        <v>0</v>
      </c>
      <c r="I4" s="112" t="b">
        <v>0</v>
      </c>
      <c r="J4" s="112" t="b">
        <v>0</v>
      </c>
      <c r="K4" s="112" t="b">
        <v>0</v>
      </c>
      <c r="L4" s="112" t="b">
        <v>0</v>
      </c>
    </row>
    <row r="5" spans="1:12" ht="15">
      <c r="A5" s="112" t="s">
        <v>1450</v>
      </c>
      <c r="B5" s="112" t="s">
        <v>1459</v>
      </c>
      <c r="C5" s="112">
        <v>7</v>
      </c>
      <c r="D5" s="115">
        <v>0.003579929656777847</v>
      </c>
      <c r="E5" s="115">
        <v>1.298033910215436</v>
      </c>
      <c r="F5" s="112" t="s">
        <v>329</v>
      </c>
      <c r="G5" s="112" t="b">
        <v>0</v>
      </c>
      <c r="H5" s="112" t="b">
        <v>0</v>
      </c>
      <c r="I5" s="112" t="b">
        <v>0</v>
      </c>
      <c r="J5" s="112" t="b">
        <v>0</v>
      </c>
      <c r="K5" s="112" t="b">
        <v>0</v>
      </c>
      <c r="L5" s="112" t="b">
        <v>0</v>
      </c>
    </row>
    <row r="6" spans="1:12" ht="15">
      <c r="A6" s="112" t="s">
        <v>1451</v>
      </c>
      <c r="B6" s="112" t="s">
        <v>1450</v>
      </c>
      <c r="C6" s="112">
        <v>7</v>
      </c>
      <c r="D6" s="115">
        <v>0.002972837691447708</v>
      </c>
      <c r="E6" s="115">
        <v>0.5069176826674247</v>
      </c>
      <c r="F6" s="112" t="s">
        <v>329</v>
      </c>
      <c r="G6" s="112" t="b">
        <v>0</v>
      </c>
      <c r="H6" s="112" t="b">
        <v>0</v>
      </c>
      <c r="I6" s="112" t="b">
        <v>0</v>
      </c>
      <c r="J6" s="112" t="b">
        <v>0</v>
      </c>
      <c r="K6" s="112" t="b">
        <v>0</v>
      </c>
      <c r="L6" s="112" t="b">
        <v>0</v>
      </c>
    </row>
    <row r="7" spans="1:12" ht="15">
      <c r="A7" s="112" t="s">
        <v>1454</v>
      </c>
      <c r="B7" s="112" t="s">
        <v>302</v>
      </c>
      <c r="C7" s="112">
        <v>6</v>
      </c>
      <c r="D7" s="115">
        <v>0.002548146592669464</v>
      </c>
      <c r="E7" s="115">
        <v>1.3653372747399073</v>
      </c>
      <c r="F7" s="112" t="s">
        <v>329</v>
      </c>
      <c r="G7" s="112" t="b">
        <v>0</v>
      </c>
      <c r="H7" s="112" t="b">
        <v>0</v>
      </c>
      <c r="I7" s="112" t="b">
        <v>0</v>
      </c>
      <c r="J7" s="112" t="b">
        <v>0</v>
      </c>
      <c r="K7" s="112" t="b">
        <v>0</v>
      </c>
      <c r="L7" s="112" t="b">
        <v>0</v>
      </c>
    </row>
    <row r="8" spans="1:12" ht="15">
      <c r="A8" s="112" t="s">
        <v>302</v>
      </c>
      <c r="B8" s="112" t="s">
        <v>1477</v>
      </c>
      <c r="C8" s="112">
        <v>6</v>
      </c>
      <c r="D8" s="115">
        <v>0.0027754570219299564</v>
      </c>
      <c r="E8" s="115">
        <v>2.142146037248042</v>
      </c>
      <c r="F8" s="112" t="s">
        <v>329</v>
      </c>
      <c r="G8" s="112" t="b">
        <v>0</v>
      </c>
      <c r="H8" s="112" t="b">
        <v>0</v>
      </c>
      <c r="I8" s="112" t="b">
        <v>0</v>
      </c>
      <c r="J8" s="112" t="b">
        <v>1</v>
      </c>
      <c r="K8" s="112" t="b">
        <v>0</v>
      </c>
      <c r="L8" s="112" t="b">
        <v>0</v>
      </c>
    </row>
    <row r="9" spans="1:12" ht="15">
      <c r="A9" s="112" t="s">
        <v>1453</v>
      </c>
      <c r="B9" s="112" t="s">
        <v>1468</v>
      </c>
      <c r="C9" s="112">
        <v>6</v>
      </c>
      <c r="D9" s="115">
        <v>0.0027754570219299564</v>
      </c>
      <c r="E9" s="115">
        <v>1.7989928356784795</v>
      </c>
      <c r="F9" s="112" t="s">
        <v>329</v>
      </c>
      <c r="G9" s="112" t="b">
        <v>1</v>
      </c>
      <c r="H9" s="112" t="b">
        <v>0</v>
      </c>
      <c r="I9" s="112" t="b">
        <v>0</v>
      </c>
      <c r="J9" s="112" t="b">
        <v>0</v>
      </c>
      <c r="K9" s="112" t="b">
        <v>0</v>
      </c>
      <c r="L9" s="112" t="b">
        <v>0</v>
      </c>
    </row>
    <row r="10" spans="1:12" ht="15">
      <c r="A10" s="112" t="s">
        <v>302</v>
      </c>
      <c r="B10" s="112" t="s">
        <v>1455</v>
      </c>
      <c r="C10" s="112">
        <v>5</v>
      </c>
      <c r="D10" s="115">
        <v>0.0029012897563463367</v>
      </c>
      <c r="E10" s="115">
        <v>1.5858435364807546</v>
      </c>
      <c r="F10" s="112" t="s">
        <v>329</v>
      </c>
      <c r="G10" s="112" t="b">
        <v>0</v>
      </c>
      <c r="H10" s="112" t="b">
        <v>0</v>
      </c>
      <c r="I10" s="112" t="b">
        <v>0</v>
      </c>
      <c r="J10" s="112" t="b">
        <v>0</v>
      </c>
      <c r="K10" s="112" t="b">
        <v>0</v>
      </c>
      <c r="L10" s="112" t="b">
        <v>0</v>
      </c>
    </row>
    <row r="11" spans="1:12" ht="15">
      <c r="A11" s="112" t="s">
        <v>1473</v>
      </c>
      <c r="B11" s="112" t="s">
        <v>1456</v>
      </c>
      <c r="C11" s="112">
        <v>5</v>
      </c>
      <c r="D11" s="115">
        <v>0.00212345549389122</v>
      </c>
      <c r="E11" s="115">
        <v>2.114117313647798</v>
      </c>
      <c r="F11" s="112" t="s">
        <v>329</v>
      </c>
      <c r="G11" s="112" t="b">
        <v>0</v>
      </c>
      <c r="H11" s="112" t="b">
        <v>0</v>
      </c>
      <c r="I11" s="112" t="b">
        <v>0</v>
      </c>
      <c r="J11" s="112" t="b">
        <v>0</v>
      </c>
      <c r="K11" s="112" t="b">
        <v>0</v>
      </c>
      <c r="L11" s="112" t="b">
        <v>0</v>
      </c>
    </row>
    <row r="12" spans="1:12" ht="15">
      <c r="A12" s="112" t="s">
        <v>1450</v>
      </c>
      <c r="B12" s="112" t="s">
        <v>1481</v>
      </c>
      <c r="C12" s="112">
        <v>5</v>
      </c>
      <c r="D12" s="115">
        <v>0.002557092611984176</v>
      </c>
      <c r="E12" s="115">
        <v>1.3737546241535543</v>
      </c>
      <c r="F12" s="112" t="s">
        <v>329</v>
      </c>
      <c r="G12" s="112" t="b">
        <v>0</v>
      </c>
      <c r="H12" s="112" t="b">
        <v>0</v>
      </c>
      <c r="I12" s="112" t="b">
        <v>0</v>
      </c>
      <c r="J12" s="112" t="b">
        <v>0</v>
      </c>
      <c r="K12" s="112" t="b">
        <v>0</v>
      </c>
      <c r="L12" s="112" t="b">
        <v>0</v>
      </c>
    </row>
    <row r="13" spans="1:12" ht="15">
      <c r="A13" s="112" t="s">
        <v>1503</v>
      </c>
      <c r="B13" s="112" t="s">
        <v>1456</v>
      </c>
      <c r="C13" s="112">
        <v>4</v>
      </c>
      <c r="D13" s="115">
        <v>0.0023210318050770696</v>
      </c>
      <c r="E13" s="115">
        <v>2.193298559695423</v>
      </c>
      <c r="F13" s="112" t="s">
        <v>329</v>
      </c>
      <c r="G13" s="112" t="b">
        <v>0</v>
      </c>
      <c r="H13" s="112" t="b">
        <v>0</v>
      </c>
      <c r="I13" s="112" t="b">
        <v>0</v>
      </c>
      <c r="J13" s="112" t="b">
        <v>0</v>
      </c>
      <c r="K13" s="112" t="b">
        <v>0</v>
      </c>
      <c r="L13" s="112" t="b">
        <v>0</v>
      </c>
    </row>
    <row r="14" spans="1:12" ht="15">
      <c r="A14" s="112" t="s">
        <v>288</v>
      </c>
      <c r="B14" s="112" t="s">
        <v>293</v>
      </c>
      <c r="C14" s="112">
        <v>4</v>
      </c>
      <c r="D14" s="115">
        <v>0.0018503046812866374</v>
      </c>
      <c r="E14" s="115">
        <v>1.9202972876316853</v>
      </c>
      <c r="F14" s="112" t="s">
        <v>329</v>
      </c>
      <c r="G14" s="112" t="b">
        <v>0</v>
      </c>
      <c r="H14" s="112" t="b">
        <v>0</v>
      </c>
      <c r="I14" s="112" t="b">
        <v>0</v>
      </c>
      <c r="J14" s="112" t="b">
        <v>0</v>
      </c>
      <c r="K14" s="112" t="b">
        <v>0</v>
      </c>
      <c r="L14" s="112" t="b">
        <v>0</v>
      </c>
    </row>
    <row r="15" spans="1:12" ht="15">
      <c r="A15" s="112" t="s">
        <v>307</v>
      </c>
      <c r="B15" s="112" t="s">
        <v>1480</v>
      </c>
      <c r="C15" s="112">
        <v>4</v>
      </c>
      <c r="D15" s="115">
        <v>0.0023210318050770696</v>
      </c>
      <c r="E15" s="115">
        <v>2.619267291967704</v>
      </c>
      <c r="F15" s="112" t="s">
        <v>329</v>
      </c>
      <c r="G15" s="112" t="b">
        <v>0</v>
      </c>
      <c r="H15" s="112" t="b">
        <v>0</v>
      </c>
      <c r="I15" s="112" t="b">
        <v>0</v>
      </c>
      <c r="J15" s="112" t="b">
        <v>0</v>
      </c>
      <c r="K15" s="112" t="b">
        <v>0</v>
      </c>
      <c r="L15" s="112" t="b">
        <v>0</v>
      </c>
    </row>
    <row r="16" spans="1:12" ht="15">
      <c r="A16" s="112" t="s">
        <v>1453</v>
      </c>
      <c r="B16" s="112" t="s">
        <v>1453</v>
      </c>
      <c r="C16" s="112">
        <v>4</v>
      </c>
      <c r="D16" s="115">
        <v>0.002045674089587341</v>
      </c>
      <c r="E16" s="115">
        <v>0.9494856767591675</v>
      </c>
      <c r="F16" s="112" t="s">
        <v>329</v>
      </c>
      <c r="G16" s="112" t="b">
        <v>1</v>
      </c>
      <c r="H16" s="112" t="b">
        <v>0</v>
      </c>
      <c r="I16" s="112" t="b">
        <v>0</v>
      </c>
      <c r="J16" s="112" t="b">
        <v>1</v>
      </c>
      <c r="K16" s="112" t="b">
        <v>0</v>
      </c>
      <c r="L16" s="112" t="b">
        <v>0</v>
      </c>
    </row>
    <row r="17" spans="1:12" ht="15">
      <c r="A17" s="112" t="s">
        <v>1491</v>
      </c>
      <c r="B17" s="112" t="s">
        <v>298</v>
      </c>
      <c r="C17" s="112">
        <v>4</v>
      </c>
      <c r="D17" s="115">
        <v>0.0023210318050770696</v>
      </c>
      <c r="E17" s="115">
        <v>2.2213272832956665</v>
      </c>
      <c r="F17" s="112" t="s">
        <v>329</v>
      </c>
      <c r="G17" s="112" t="b">
        <v>0</v>
      </c>
      <c r="H17" s="112" t="b">
        <v>0</v>
      </c>
      <c r="I17" s="112" t="b">
        <v>0</v>
      </c>
      <c r="J17" s="112" t="b">
        <v>0</v>
      </c>
      <c r="K17" s="112" t="b">
        <v>0</v>
      </c>
      <c r="L17" s="112" t="b">
        <v>0</v>
      </c>
    </row>
    <row r="18" spans="1:12" ht="15">
      <c r="A18" s="112" t="s">
        <v>1453</v>
      </c>
      <c r="B18" s="112" t="s">
        <v>1450</v>
      </c>
      <c r="C18" s="112">
        <v>3</v>
      </c>
      <c r="D18" s="115">
        <v>0.0017407738538078022</v>
      </c>
      <c r="E18" s="115">
        <v>0.4136419543144623</v>
      </c>
      <c r="F18" s="112" t="s">
        <v>329</v>
      </c>
      <c r="G18" s="112" t="b">
        <v>1</v>
      </c>
      <c r="H18" s="112" t="b">
        <v>0</v>
      </c>
      <c r="I18" s="112" t="b">
        <v>0</v>
      </c>
      <c r="J18" s="112" t="b">
        <v>0</v>
      </c>
      <c r="K18" s="112" t="b">
        <v>0</v>
      </c>
      <c r="L18" s="112" t="b">
        <v>0</v>
      </c>
    </row>
    <row r="19" spans="1:12" ht="15">
      <c r="A19" s="112" t="s">
        <v>1500</v>
      </c>
      <c r="B19" s="112" t="s">
        <v>1524</v>
      </c>
      <c r="C19" s="112">
        <v>3</v>
      </c>
      <c r="D19" s="115">
        <v>0.001534255567190506</v>
      </c>
      <c r="E19" s="115">
        <v>2.7953585510233854</v>
      </c>
      <c r="F19" s="112" t="s">
        <v>329</v>
      </c>
      <c r="G19" s="112" t="b">
        <v>0</v>
      </c>
      <c r="H19" s="112" t="b">
        <v>0</v>
      </c>
      <c r="I19" s="112" t="b">
        <v>0</v>
      </c>
      <c r="J19" s="112" t="b">
        <v>0</v>
      </c>
      <c r="K19" s="112" t="b">
        <v>0</v>
      </c>
      <c r="L19" s="112" t="b">
        <v>0</v>
      </c>
    </row>
    <row r="20" spans="1:12" ht="15">
      <c r="A20" s="112" t="s">
        <v>1505</v>
      </c>
      <c r="B20" s="112" t="s">
        <v>1542</v>
      </c>
      <c r="C20" s="112">
        <v>3</v>
      </c>
      <c r="D20" s="115">
        <v>0.002093819196650626</v>
      </c>
      <c r="E20" s="115">
        <v>2.7953585510233854</v>
      </c>
      <c r="F20" s="112" t="s">
        <v>329</v>
      </c>
      <c r="G20" s="112" t="b">
        <v>0</v>
      </c>
      <c r="H20" s="112" t="b">
        <v>0</v>
      </c>
      <c r="I20" s="112" t="b">
        <v>0</v>
      </c>
      <c r="J20" s="112" t="b">
        <v>0</v>
      </c>
      <c r="K20" s="112" t="b">
        <v>0</v>
      </c>
      <c r="L20" s="112" t="b">
        <v>0</v>
      </c>
    </row>
    <row r="21" spans="1:12" ht="15">
      <c r="A21" s="112" t="s">
        <v>1549</v>
      </c>
      <c r="B21" s="112" t="s">
        <v>294</v>
      </c>
      <c r="C21" s="112">
        <v>3</v>
      </c>
      <c r="D21" s="115">
        <v>0.001534255567190506</v>
      </c>
      <c r="E21" s="115">
        <v>2.397418542351348</v>
      </c>
      <c r="F21" s="112" t="s">
        <v>329</v>
      </c>
      <c r="G21" s="112" t="b">
        <v>0</v>
      </c>
      <c r="H21" s="112" t="b">
        <v>0</v>
      </c>
      <c r="I21" s="112" t="b">
        <v>0</v>
      </c>
      <c r="J21" s="112" t="b">
        <v>0</v>
      </c>
      <c r="K21" s="112" t="b">
        <v>0</v>
      </c>
      <c r="L21" s="112" t="b">
        <v>0</v>
      </c>
    </row>
    <row r="22" spans="1:12" ht="15">
      <c r="A22" s="112" t="s">
        <v>1558</v>
      </c>
      <c r="B22" s="112" t="s">
        <v>1487</v>
      </c>
      <c r="C22" s="112">
        <v>3</v>
      </c>
      <c r="D22" s="115">
        <v>0.0017407738538078022</v>
      </c>
      <c r="E22" s="115">
        <v>2.698448538015329</v>
      </c>
      <c r="F22" s="112" t="s">
        <v>329</v>
      </c>
      <c r="G22" s="112" t="b">
        <v>0</v>
      </c>
      <c r="H22" s="112" t="b">
        <v>0</v>
      </c>
      <c r="I22" s="112" t="b">
        <v>0</v>
      </c>
      <c r="J22" s="112" t="b">
        <v>0</v>
      </c>
      <c r="K22" s="112" t="b">
        <v>0</v>
      </c>
      <c r="L22" s="112" t="b">
        <v>0</v>
      </c>
    </row>
    <row r="23" spans="1:12" ht="15">
      <c r="A23" s="112" t="s">
        <v>1450</v>
      </c>
      <c r="B23" s="112" t="s">
        <v>1560</v>
      </c>
      <c r="C23" s="112">
        <v>3</v>
      </c>
      <c r="D23" s="115">
        <v>0.0017407738538078022</v>
      </c>
      <c r="E23" s="115">
        <v>1.452935870201179</v>
      </c>
      <c r="F23" s="112" t="s">
        <v>329</v>
      </c>
      <c r="G23" s="112" t="b">
        <v>0</v>
      </c>
      <c r="H23" s="112" t="b">
        <v>0</v>
      </c>
      <c r="I23" s="112" t="b">
        <v>0</v>
      </c>
      <c r="J23" s="112" t="b">
        <v>0</v>
      </c>
      <c r="K23" s="112" t="b">
        <v>0</v>
      </c>
      <c r="L23" s="112" t="b">
        <v>0</v>
      </c>
    </row>
    <row r="24" spans="1:12" ht="15">
      <c r="A24" s="112" t="s">
        <v>1450</v>
      </c>
      <c r="B24" s="112" t="s">
        <v>1561</v>
      </c>
      <c r="C24" s="112">
        <v>3</v>
      </c>
      <c r="D24" s="115">
        <v>0.0017407738538078022</v>
      </c>
      <c r="E24" s="115">
        <v>1.452935870201179</v>
      </c>
      <c r="F24" s="112" t="s">
        <v>329</v>
      </c>
      <c r="G24" s="112" t="b">
        <v>0</v>
      </c>
      <c r="H24" s="112" t="b">
        <v>0</v>
      </c>
      <c r="I24" s="112" t="b">
        <v>0</v>
      </c>
      <c r="J24" s="112" t="b">
        <v>0</v>
      </c>
      <c r="K24" s="112" t="b">
        <v>0</v>
      </c>
      <c r="L24" s="112" t="b">
        <v>0</v>
      </c>
    </row>
    <row r="25" spans="1:12" ht="15">
      <c r="A25" s="112" t="s">
        <v>1504</v>
      </c>
      <c r="B25" s="112" t="s">
        <v>306</v>
      </c>
      <c r="C25" s="112">
        <v>3</v>
      </c>
      <c r="D25" s="115">
        <v>0.001534255567190506</v>
      </c>
      <c r="E25" s="115">
        <v>2.3182372963037228</v>
      </c>
      <c r="F25" s="112" t="s">
        <v>329</v>
      </c>
      <c r="G25" s="112" t="b">
        <v>0</v>
      </c>
      <c r="H25" s="112" t="b">
        <v>0</v>
      </c>
      <c r="I25" s="112" t="b">
        <v>0</v>
      </c>
      <c r="J25" s="112" t="b">
        <v>0</v>
      </c>
      <c r="K25" s="112" t="b">
        <v>0</v>
      </c>
      <c r="L25" s="112" t="b">
        <v>0</v>
      </c>
    </row>
    <row r="26" spans="1:12" ht="15">
      <c r="A26" s="112" t="s">
        <v>287</v>
      </c>
      <c r="B26" s="112" t="s">
        <v>316</v>
      </c>
      <c r="C26" s="112">
        <v>3</v>
      </c>
      <c r="D26" s="115">
        <v>0.001534255567190506</v>
      </c>
      <c r="E26" s="115">
        <v>2.017207300639742</v>
      </c>
      <c r="F26" s="112" t="s">
        <v>329</v>
      </c>
      <c r="G26" s="112" t="b">
        <v>0</v>
      </c>
      <c r="H26" s="112" t="b">
        <v>0</v>
      </c>
      <c r="I26" s="112" t="b">
        <v>0</v>
      </c>
      <c r="J26" s="112" t="b">
        <v>0</v>
      </c>
      <c r="K26" s="112" t="b">
        <v>0</v>
      </c>
      <c r="L26" s="112" t="b">
        <v>0</v>
      </c>
    </row>
    <row r="27" spans="1:12" ht="15">
      <c r="A27" s="112" t="s">
        <v>1455</v>
      </c>
      <c r="B27" s="112" t="s">
        <v>1452</v>
      </c>
      <c r="C27" s="112">
        <v>3</v>
      </c>
      <c r="D27" s="115">
        <v>0.0017407738538078022</v>
      </c>
      <c r="E27" s="115">
        <v>1.028202684941205</v>
      </c>
      <c r="F27" s="112" t="s">
        <v>329</v>
      </c>
      <c r="G27" s="112" t="b">
        <v>0</v>
      </c>
      <c r="H27" s="112" t="b">
        <v>0</v>
      </c>
      <c r="I27" s="112" t="b">
        <v>0</v>
      </c>
      <c r="J27" s="112" t="b">
        <v>0</v>
      </c>
      <c r="K27" s="112" t="b">
        <v>0</v>
      </c>
      <c r="L27" s="112" t="b">
        <v>0</v>
      </c>
    </row>
    <row r="28" spans="1:12" ht="15">
      <c r="A28" s="112" t="s">
        <v>1451</v>
      </c>
      <c r="B28" s="112" t="s">
        <v>1454</v>
      </c>
      <c r="C28" s="112">
        <v>3</v>
      </c>
      <c r="D28" s="115">
        <v>0.001534255567190506</v>
      </c>
      <c r="E28" s="115">
        <v>0.5498458832092356</v>
      </c>
      <c r="F28" s="112" t="s">
        <v>329</v>
      </c>
      <c r="G28" s="112" t="b">
        <v>0</v>
      </c>
      <c r="H28" s="112" t="b">
        <v>0</v>
      </c>
      <c r="I28" s="112" t="b">
        <v>0</v>
      </c>
      <c r="J28" s="112" t="b">
        <v>0</v>
      </c>
      <c r="K28" s="112" t="b">
        <v>0</v>
      </c>
      <c r="L28" s="112" t="b">
        <v>0</v>
      </c>
    </row>
    <row r="29" spans="1:12" ht="15">
      <c r="A29" s="112" t="s">
        <v>1587</v>
      </c>
      <c r="B29" s="112" t="s">
        <v>1471</v>
      </c>
      <c r="C29" s="112">
        <v>3</v>
      </c>
      <c r="D29" s="115">
        <v>0.001534255567190506</v>
      </c>
      <c r="E29" s="115">
        <v>2.552320502337091</v>
      </c>
      <c r="F29" s="112" t="s">
        <v>329</v>
      </c>
      <c r="G29" s="112" t="b">
        <v>0</v>
      </c>
      <c r="H29" s="112" t="b">
        <v>0</v>
      </c>
      <c r="I29" s="112" t="b">
        <v>0</v>
      </c>
      <c r="J29" s="112" t="b">
        <v>0</v>
      </c>
      <c r="K29" s="112" t="b">
        <v>0</v>
      </c>
      <c r="L29" s="112" t="b">
        <v>0</v>
      </c>
    </row>
    <row r="30" spans="1:12" ht="15">
      <c r="A30" s="112" t="s">
        <v>1452</v>
      </c>
      <c r="B30" s="112" t="s">
        <v>1521</v>
      </c>
      <c r="C30" s="112">
        <v>3</v>
      </c>
      <c r="D30" s="115">
        <v>0.002093819196650626</v>
      </c>
      <c r="E30" s="115">
        <v>1.6814151987165487</v>
      </c>
      <c r="F30" s="112" t="s">
        <v>329</v>
      </c>
      <c r="G30" s="112" t="b">
        <v>0</v>
      </c>
      <c r="H30" s="112" t="b">
        <v>0</v>
      </c>
      <c r="I30" s="112" t="b">
        <v>0</v>
      </c>
      <c r="J30" s="112" t="b">
        <v>0</v>
      </c>
      <c r="K30" s="112" t="b">
        <v>0</v>
      </c>
      <c r="L30" s="112" t="b">
        <v>0</v>
      </c>
    </row>
    <row r="31" spans="1:12" ht="15">
      <c r="A31" s="112" t="s">
        <v>1521</v>
      </c>
      <c r="B31" s="112" t="s">
        <v>1450</v>
      </c>
      <c r="C31" s="112">
        <v>3</v>
      </c>
      <c r="D31" s="115">
        <v>0.002093819196650626</v>
      </c>
      <c r="E31" s="115">
        <v>1.3430608800287551</v>
      </c>
      <c r="F31" s="112" t="s">
        <v>329</v>
      </c>
      <c r="G31" s="112" t="b">
        <v>0</v>
      </c>
      <c r="H31" s="112" t="b">
        <v>0</v>
      </c>
      <c r="I31" s="112" t="b">
        <v>0</v>
      </c>
      <c r="J31" s="112" t="b">
        <v>0</v>
      </c>
      <c r="K31" s="112" t="b">
        <v>0</v>
      </c>
      <c r="L31" s="112" t="b">
        <v>0</v>
      </c>
    </row>
    <row r="32" spans="1:12" ht="15">
      <c r="A32" s="112" t="s">
        <v>1454</v>
      </c>
      <c r="B32" s="112" t="s">
        <v>1452</v>
      </c>
      <c r="C32" s="112">
        <v>2</v>
      </c>
      <c r="D32" s="115">
        <v>0.0011605159025385348</v>
      </c>
      <c r="E32" s="115">
        <v>0.5759050139465747</v>
      </c>
      <c r="F32" s="112" t="s">
        <v>329</v>
      </c>
      <c r="G32" s="112" t="b">
        <v>0</v>
      </c>
      <c r="H32" s="112" t="b">
        <v>0</v>
      </c>
      <c r="I32" s="112" t="b">
        <v>0</v>
      </c>
      <c r="J32" s="112" t="b">
        <v>0</v>
      </c>
      <c r="K32" s="112" t="b">
        <v>0</v>
      </c>
      <c r="L32" s="112" t="b">
        <v>0</v>
      </c>
    </row>
    <row r="33" spans="1:12" ht="15">
      <c r="A33" s="112" t="s">
        <v>1451</v>
      </c>
      <c r="B33" s="112" t="s">
        <v>319</v>
      </c>
      <c r="C33" s="112">
        <v>2</v>
      </c>
      <c r="D33" s="115">
        <v>0.0011605159025385348</v>
      </c>
      <c r="E33" s="115">
        <v>1.047170524017185</v>
      </c>
      <c r="F33" s="112" t="s">
        <v>329</v>
      </c>
      <c r="G33" s="112" t="b">
        <v>0</v>
      </c>
      <c r="H33" s="112" t="b">
        <v>0</v>
      </c>
      <c r="I33" s="112" t="b">
        <v>0</v>
      </c>
      <c r="J33" s="112" t="b">
        <v>0</v>
      </c>
      <c r="K33" s="112" t="b">
        <v>0</v>
      </c>
      <c r="L33" s="112" t="b">
        <v>0</v>
      </c>
    </row>
    <row r="34" spans="1:12" ht="15">
      <c r="A34" s="112" t="s">
        <v>1528</v>
      </c>
      <c r="B34" s="112" t="s">
        <v>1529</v>
      </c>
      <c r="C34" s="112">
        <v>2</v>
      </c>
      <c r="D34" s="115">
        <v>0.0011605159025385348</v>
      </c>
      <c r="E34" s="115">
        <v>2.744206028576004</v>
      </c>
      <c r="F34" s="112" t="s">
        <v>329</v>
      </c>
      <c r="G34" s="112" t="b">
        <v>1</v>
      </c>
      <c r="H34" s="112" t="b">
        <v>0</v>
      </c>
      <c r="I34" s="112" t="b">
        <v>0</v>
      </c>
      <c r="J34" s="112" t="b">
        <v>0</v>
      </c>
      <c r="K34" s="112" t="b">
        <v>0</v>
      </c>
      <c r="L34" s="112" t="b">
        <v>0</v>
      </c>
    </row>
    <row r="35" spans="1:12" ht="15">
      <c r="A35" s="112" t="s">
        <v>1601</v>
      </c>
      <c r="B35" s="112" t="s">
        <v>1527</v>
      </c>
      <c r="C35" s="112">
        <v>2</v>
      </c>
      <c r="D35" s="115">
        <v>0.0011605159025385348</v>
      </c>
      <c r="E35" s="115">
        <v>2.9202972876316853</v>
      </c>
      <c r="F35" s="112" t="s">
        <v>329</v>
      </c>
      <c r="G35" s="112" t="b">
        <v>0</v>
      </c>
      <c r="H35" s="112" t="b">
        <v>0</v>
      </c>
      <c r="I35" s="112" t="b">
        <v>0</v>
      </c>
      <c r="J35" s="112" t="b">
        <v>0</v>
      </c>
      <c r="K35" s="112" t="b">
        <v>0</v>
      </c>
      <c r="L35" s="112" t="b">
        <v>0</v>
      </c>
    </row>
    <row r="36" spans="1:12" ht="15">
      <c r="A36" s="112" t="s">
        <v>1605</v>
      </c>
      <c r="B36" s="112" t="s">
        <v>1606</v>
      </c>
      <c r="C36" s="112">
        <v>2</v>
      </c>
      <c r="D36" s="115">
        <v>0.0013958794644337506</v>
      </c>
      <c r="E36" s="115">
        <v>3.0963885466873666</v>
      </c>
      <c r="F36" s="112" t="s">
        <v>329</v>
      </c>
      <c r="G36" s="112" t="b">
        <v>0</v>
      </c>
      <c r="H36" s="112" t="b">
        <v>0</v>
      </c>
      <c r="I36" s="112" t="b">
        <v>0</v>
      </c>
      <c r="J36" s="112" t="b">
        <v>0</v>
      </c>
      <c r="K36" s="112" t="b">
        <v>0</v>
      </c>
      <c r="L36" s="112" t="b">
        <v>0</v>
      </c>
    </row>
    <row r="37" spans="1:12" ht="15">
      <c r="A37" s="112" t="s">
        <v>1535</v>
      </c>
      <c r="B37" s="112" t="s">
        <v>1456</v>
      </c>
      <c r="C37" s="112">
        <v>2</v>
      </c>
      <c r="D37" s="115">
        <v>0.0011605159025385348</v>
      </c>
      <c r="E37" s="115">
        <v>2.0172073006397415</v>
      </c>
      <c r="F37" s="112" t="s">
        <v>329</v>
      </c>
      <c r="G37" s="112" t="b">
        <v>0</v>
      </c>
      <c r="H37" s="112" t="b">
        <v>0</v>
      </c>
      <c r="I37" s="112" t="b">
        <v>0</v>
      </c>
      <c r="J37" s="112" t="b">
        <v>0</v>
      </c>
      <c r="K37" s="112" t="b">
        <v>0</v>
      </c>
      <c r="L37" s="112" t="b">
        <v>0</v>
      </c>
    </row>
    <row r="38" spans="1:12" ht="15">
      <c r="A38" s="112" t="s">
        <v>1456</v>
      </c>
      <c r="B38" s="112" t="s">
        <v>1473</v>
      </c>
      <c r="C38" s="112">
        <v>2</v>
      </c>
      <c r="D38" s="115">
        <v>0.0011605159025385348</v>
      </c>
      <c r="E38" s="115">
        <v>1.7161773049757605</v>
      </c>
      <c r="F38" s="112" t="s">
        <v>329</v>
      </c>
      <c r="G38" s="112" t="b">
        <v>0</v>
      </c>
      <c r="H38" s="112" t="b">
        <v>0</v>
      </c>
      <c r="I38" s="112" t="b">
        <v>0</v>
      </c>
      <c r="J38" s="112" t="b">
        <v>0</v>
      </c>
      <c r="K38" s="112" t="b">
        <v>0</v>
      </c>
      <c r="L38" s="112" t="b">
        <v>0</v>
      </c>
    </row>
    <row r="39" spans="1:12" ht="15">
      <c r="A39" s="112" t="s">
        <v>1537</v>
      </c>
      <c r="B39" s="112" t="s">
        <v>287</v>
      </c>
      <c r="C39" s="112">
        <v>2</v>
      </c>
      <c r="D39" s="115">
        <v>0.0011605159025385348</v>
      </c>
      <c r="E39" s="115">
        <v>1.8063539353248486</v>
      </c>
      <c r="F39" s="112" t="s">
        <v>329</v>
      </c>
      <c r="G39" s="112" t="b">
        <v>0</v>
      </c>
      <c r="H39" s="112" t="b">
        <v>0</v>
      </c>
      <c r="I39" s="112" t="b">
        <v>0</v>
      </c>
      <c r="J39" s="112" t="b">
        <v>0</v>
      </c>
      <c r="K39" s="112" t="b">
        <v>0</v>
      </c>
      <c r="L39" s="112" t="b">
        <v>0</v>
      </c>
    </row>
    <row r="40" spans="1:12" ht="15">
      <c r="A40" s="112" t="s">
        <v>1452</v>
      </c>
      <c r="B40" s="112" t="s">
        <v>1613</v>
      </c>
      <c r="C40" s="112">
        <v>2</v>
      </c>
      <c r="D40" s="115">
        <v>0.0013958794644337506</v>
      </c>
      <c r="E40" s="115">
        <v>1.8063539353248486</v>
      </c>
      <c r="F40" s="112" t="s">
        <v>329</v>
      </c>
      <c r="G40" s="112" t="b">
        <v>0</v>
      </c>
      <c r="H40" s="112" t="b">
        <v>0</v>
      </c>
      <c r="I40" s="112" t="b">
        <v>0</v>
      </c>
      <c r="J40" s="112" t="b">
        <v>0</v>
      </c>
      <c r="K40" s="112" t="b">
        <v>0</v>
      </c>
      <c r="L40" s="112" t="b">
        <v>0</v>
      </c>
    </row>
    <row r="41" spans="1:12" ht="15">
      <c r="A41" s="112" t="s">
        <v>1542</v>
      </c>
      <c r="B41" s="112" t="s">
        <v>296</v>
      </c>
      <c r="C41" s="112">
        <v>2</v>
      </c>
      <c r="D41" s="115">
        <v>0.0013958794644337506</v>
      </c>
      <c r="E41" s="115">
        <v>2.9202972876316853</v>
      </c>
      <c r="F41" s="112" t="s">
        <v>329</v>
      </c>
      <c r="G41" s="112" t="b">
        <v>0</v>
      </c>
      <c r="H41" s="112" t="b">
        <v>0</v>
      </c>
      <c r="I41" s="112" t="b">
        <v>0</v>
      </c>
      <c r="J41" s="112" t="b">
        <v>0</v>
      </c>
      <c r="K41" s="112" t="b">
        <v>0</v>
      </c>
      <c r="L41" s="112" t="b">
        <v>0</v>
      </c>
    </row>
    <row r="42" spans="1:12" ht="15">
      <c r="A42" s="112" t="s">
        <v>1457</v>
      </c>
      <c r="B42" s="112" t="s">
        <v>1545</v>
      </c>
      <c r="C42" s="112">
        <v>2</v>
      </c>
      <c r="D42" s="115">
        <v>0.0011605159025385348</v>
      </c>
      <c r="E42" s="115">
        <v>2.045236024239985</v>
      </c>
      <c r="F42" s="112" t="s">
        <v>329</v>
      </c>
      <c r="G42" s="112" t="b">
        <v>0</v>
      </c>
      <c r="H42" s="112" t="b">
        <v>0</v>
      </c>
      <c r="I42" s="112" t="b">
        <v>0</v>
      </c>
      <c r="J42" s="112" t="b">
        <v>0</v>
      </c>
      <c r="K42" s="112" t="b">
        <v>0</v>
      </c>
      <c r="L42" s="112" t="b">
        <v>0</v>
      </c>
    </row>
    <row r="43" spans="1:12" ht="15">
      <c r="A43" s="112" t="s">
        <v>1452</v>
      </c>
      <c r="B43" s="112" t="s">
        <v>1450</v>
      </c>
      <c r="C43" s="112">
        <v>2</v>
      </c>
      <c r="D43" s="115">
        <v>0.0011605159025385348</v>
      </c>
      <c r="E43" s="115">
        <v>0.17796500527453707</v>
      </c>
      <c r="F43" s="112" t="s">
        <v>329</v>
      </c>
      <c r="G43" s="112" t="b">
        <v>0</v>
      </c>
      <c r="H43" s="112" t="b">
        <v>0</v>
      </c>
      <c r="I43" s="112" t="b">
        <v>0</v>
      </c>
      <c r="J43" s="112" t="b">
        <v>0</v>
      </c>
      <c r="K43" s="112" t="b">
        <v>0</v>
      </c>
      <c r="L43" s="112" t="b">
        <v>0</v>
      </c>
    </row>
    <row r="44" spans="1:12" ht="15">
      <c r="A44" s="112" t="s">
        <v>1467</v>
      </c>
      <c r="B44" s="112" t="s">
        <v>287</v>
      </c>
      <c r="C44" s="112">
        <v>2</v>
      </c>
      <c r="D44" s="115">
        <v>0.0011605159025385348</v>
      </c>
      <c r="E44" s="115">
        <v>1.4383771500302542</v>
      </c>
      <c r="F44" s="112" t="s">
        <v>329</v>
      </c>
      <c r="G44" s="112" t="b">
        <v>0</v>
      </c>
      <c r="H44" s="112" t="b">
        <v>0</v>
      </c>
      <c r="I44" s="112" t="b">
        <v>0</v>
      </c>
      <c r="J44" s="112" t="b">
        <v>0</v>
      </c>
      <c r="K44" s="112" t="b">
        <v>0</v>
      </c>
      <c r="L44" s="112" t="b">
        <v>0</v>
      </c>
    </row>
    <row r="45" spans="1:12" ht="15">
      <c r="A45" s="112" t="s">
        <v>1475</v>
      </c>
      <c r="B45" s="112" t="s">
        <v>1476</v>
      </c>
      <c r="C45" s="112">
        <v>2</v>
      </c>
      <c r="D45" s="115">
        <v>0.0011605159025385348</v>
      </c>
      <c r="E45" s="115">
        <v>2.142146037248042</v>
      </c>
      <c r="F45" s="112" t="s">
        <v>329</v>
      </c>
      <c r="G45" s="112" t="b">
        <v>1</v>
      </c>
      <c r="H45" s="112" t="b">
        <v>0</v>
      </c>
      <c r="I45" s="112" t="b">
        <v>0</v>
      </c>
      <c r="J45" s="112" t="b">
        <v>0</v>
      </c>
      <c r="K45" s="112" t="b">
        <v>0</v>
      </c>
      <c r="L45" s="112" t="b">
        <v>0</v>
      </c>
    </row>
    <row r="46" spans="1:12" ht="15">
      <c r="A46" s="112" t="s">
        <v>1547</v>
      </c>
      <c r="B46" s="112" t="s">
        <v>1630</v>
      </c>
      <c r="C46" s="112">
        <v>2</v>
      </c>
      <c r="D46" s="115">
        <v>0.0013958794644337506</v>
      </c>
      <c r="E46" s="115">
        <v>2.9202972876316853</v>
      </c>
      <c r="F46" s="112" t="s">
        <v>329</v>
      </c>
      <c r="G46" s="112" t="b">
        <v>0</v>
      </c>
      <c r="H46" s="112" t="b">
        <v>0</v>
      </c>
      <c r="I46" s="112" t="b">
        <v>0</v>
      </c>
      <c r="J46" s="112" t="b">
        <v>0</v>
      </c>
      <c r="K46" s="112" t="b">
        <v>0</v>
      </c>
      <c r="L46" s="112" t="b">
        <v>0</v>
      </c>
    </row>
    <row r="47" spans="1:12" ht="15">
      <c r="A47" s="112" t="s">
        <v>1630</v>
      </c>
      <c r="B47" s="112" t="s">
        <v>1463</v>
      </c>
      <c r="C47" s="112">
        <v>2</v>
      </c>
      <c r="D47" s="115">
        <v>0.0013958794644337506</v>
      </c>
      <c r="E47" s="115">
        <v>2.494328555359404</v>
      </c>
      <c r="F47" s="112" t="s">
        <v>329</v>
      </c>
      <c r="G47" s="112" t="b">
        <v>0</v>
      </c>
      <c r="H47" s="112" t="b">
        <v>0</v>
      </c>
      <c r="I47" s="112" t="b">
        <v>0</v>
      </c>
      <c r="J47" s="112" t="b">
        <v>0</v>
      </c>
      <c r="K47" s="112" t="b">
        <v>0</v>
      </c>
      <c r="L47" s="112" t="b">
        <v>0</v>
      </c>
    </row>
    <row r="48" spans="1:12" ht="15">
      <c r="A48" s="112" t="s">
        <v>1451</v>
      </c>
      <c r="B48" s="112" t="s">
        <v>1473</v>
      </c>
      <c r="C48" s="112">
        <v>2</v>
      </c>
      <c r="D48" s="115">
        <v>0.0011605159025385348</v>
      </c>
      <c r="E48" s="115">
        <v>1.1141173136477982</v>
      </c>
      <c r="F48" s="112" t="s">
        <v>329</v>
      </c>
      <c r="G48" s="112" t="b">
        <v>0</v>
      </c>
      <c r="H48" s="112" t="b">
        <v>0</v>
      </c>
      <c r="I48" s="112" t="b">
        <v>0</v>
      </c>
      <c r="J48" s="112" t="b">
        <v>0</v>
      </c>
      <c r="K48" s="112" t="b">
        <v>0</v>
      </c>
      <c r="L48" s="112" t="b">
        <v>0</v>
      </c>
    </row>
    <row r="49" spans="1:12" ht="15">
      <c r="A49" s="112" t="s">
        <v>1460</v>
      </c>
      <c r="B49" s="112" t="s">
        <v>1457</v>
      </c>
      <c r="C49" s="112">
        <v>2</v>
      </c>
      <c r="D49" s="115">
        <v>0.0011605159025385348</v>
      </c>
      <c r="E49" s="115">
        <v>1.5223572789596476</v>
      </c>
      <c r="F49" s="112" t="s">
        <v>329</v>
      </c>
      <c r="G49" s="112" t="b">
        <v>0</v>
      </c>
      <c r="H49" s="112" t="b">
        <v>0</v>
      </c>
      <c r="I49" s="112" t="b">
        <v>0</v>
      </c>
      <c r="J49" s="112" t="b">
        <v>0</v>
      </c>
      <c r="K49" s="112" t="b">
        <v>0</v>
      </c>
      <c r="L49" s="112" t="b">
        <v>0</v>
      </c>
    </row>
    <row r="50" spans="1:12" ht="15">
      <c r="A50" s="112" t="s">
        <v>302</v>
      </c>
      <c r="B50" s="112" t="s">
        <v>1559</v>
      </c>
      <c r="C50" s="112">
        <v>2</v>
      </c>
      <c r="D50" s="115">
        <v>0.0011605159025385348</v>
      </c>
      <c r="E50" s="115">
        <v>1.9660547781923605</v>
      </c>
      <c r="F50" s="112" t="s">
        <v>329</v>
      </c>
      <c r="G50" s="112" t="b">
        <v>0</v>
      </c>
      <c r="H50" s="112" t="b">
        <v>0</v>
      </c>
      <c r="I50" s="112" t="b">
        <v>0</v>
      </c>
      <c r="J50" s="112" t="b">
        <v>0</v>
      </c>
      <c r="K50" s="112" t="b">
        <v>0</v>
      </c>
      <c r="L50" s="112" t="b">
        <v>0</v>
      </c>
    </row>
    <row r="51" spans="1:12" ht="15">
      <c r="A51" s="112" t="s">
        <v>1560</v>
      </c>
      <c r="B51" s="112" t="s">
        <v>1450</v>
      </c>
      <c r="C51" s="112">
        <v>2</v>
      </c>
      <c r="D51" s="115">
        <v>0.0011605159025385348</v>
      </c>
      <c r="E51" s="115">
        <v>1.2919083575813737</v>
      </c>
      <c r="F51" s="112" t="s">
        <v>329</v>
      </c>
      <c r="G51" s="112" t="b">
        <v>0</v>
      </c>
      <c r="H51" s="112" t="b">
        <v>0</v>
      </c>
      <c r="I51" s="112" t="b">
        <v>0</v>
      </c>
      <c r="J51" s="112" t="b">
        <v>0</v>
      </c>
      <c r="K51" s="112" t="b">
        <v>0</v>
      </c>
      <c r="L51" s="112" t="b">
        <v>0</v>
      </c>
    </row>
    <row r="52" spans="1:12" ht="15">
      <c r="A52" s="112" t="s">
        <v>306</v>
      </c>
      <c r="B52" s="112" t="s">
        <v>1660</v>
      </c>
      <c r="C52" s="112">
        <v>2</v>
      </c>
      <c r="D52" s="115">
        <v>0.0011605159025385348</v>
      </c>
      <c r="E52" s="115">
        <v>2.443176032912023</v>
      </c>
      <c r="F52" s="112" t="s">
        <v>329</v>
      </c>
      <c r="G52" s="112" t="b">
        <v>0</v>
      </c>
      <c r="H52" s="112" t="b">
        <v>0</v>
      </c>
      <c r="I52" s="112" t="b">
        <v>0</v>
      </c>
      <c r="J52" s="112" t="b">
        <v>0</v>
      </c>
      <c r="K52" s="112" t="b">
        <v>0</v>
      </c>
      <c r="L52" s="112" t="b">
        <v>0</v>
      </c>
    </row>
    <row r="53" spans="1:12" ht="15">
      <c r="A53" s="112" t="s">
        <v>1666</v>
      </c>
      <c r="B53" s="112" t="s">
        <v>1485</v>
      </c>
      <c r="C53" s="112">
        <v>2</v>
      </c>
      <c r="D53" s="115">
        <v>0.0013958794644337506</v>
      </c>
      <c r="E53" s="115">
        <v>2.698448538015329</v>
      </c>
      <c r="F53" s="112" t="s">
        <v>329</v>
      </c>
      <c r="G53" s="112" t="b">
        <v>0</v>
      </c>
      <c r="H53" s="112" t="b">
        <v>0</v>
      </c>
      <c r="I53" s="112" t="b">
        <v>0</v>
      </c>
      <c r="J53" s="112" t="b">
        <v>0</v>
      </c>
      <c r="K53" s="112" t="b">
        <v>0</v>
      </c>
      <c r="L53" s="112" t="b">
        <v>0</v>
      </c>
    </row>
    <row r="54" spans="1:12" ht="15">
      <c r="A54" s="112" t="s">
        <v>1479</v>
      </c>
      <c r="B54" s="112" t="s">
        <v>1489</v>
      </c>
      <c r="C54" s="112">
        <v>2</v>
      </c>
      <c r="D54" s="115">
        <v>0.0011605159025385348</v>
      </c>
      <c r="E54" s="115">
        <v>2.2213272832956665</v>
      </c>
      <c r="F54" s="112" t="s">
        <v>329</v>
      </c>
      <c r="G54" s="112" t="b">
        <v>0</v>
      </c>
      <c r="H54" s="112" t="b">
        <v>0</v>
      </c>
      <c r="I54" s="112" t="b">
        <v>0</v>
      </c>
      <c r="J54" s="112" t="b">
        <v>0</v>
      </c>
      <c r="K54" s="112" t="b">
        <v>0</v>
      </c>
      <c r="L54" s="112" t="b">
        <v>0</v>
      </c>
    </row>
    <row r="55" spans="1:12" ht="15">
      <c r="A55" s="112" t="s">
        <v>1674</v>
      </c>
      <c r="B55" s="112" t="s">
        <v>1490</v>
      </c>
      <c r="C55" s="112">
        <v>2</v>
      </c>
      <c r="D55" s="115">
        <v>0.0013958794644337506</v>
      </c>
      <c r="E55" s="115">
        <v>2.698448538015329</v>
      </c>
      <c r="F55" s="112" t="s">
        <v>329</v>
      </c>
      <c r="G55" s="112" t="b">
        <v>0</v>
      </c>
      <c r="H55" s="112" t="b">
        <v>0</v>
      </c>
      <c r="I55" s="112" t="b">
        <v>0</v>
      </c>
      <c r="J55" s="112" t="b">
        <v>0</v>
      </c>
      <c r="K55" s="112" t="b">
        <v>0</v>
      </c>
      <c r="L55" s="112" t="b">
        <v>0</v>
      </c>
    </row>
    <row r="56" spans="1:12" ht="15">
      <c r="A56" s="112" t="s">
        <v>1490</v>
      </c>
      <c r="B56" s="112" t="s">
        <v>294</v>
      </c>
      <c r="C56" s="112">
        <v>2</v>
      </c>
      <c r="D56" s="115">
        <v>0.0013958794644337506</v>
      </c>
      <c r="E56" s="115">
        <v>1.9994785336793102</v>
      </c>
      <c r="F56" s="112" t="s">
        <v>329</v>
      </c>
      <c r="G56" s="112" t="b">
        <v>0</v>
      </c>
      <c r="H56" s="112" t="b">
        <v>0</v>
      </c>
      <c r="I56" s="112" t="b">
        <v>0</v>
      </c>
      <c r="J56" s="112" t="b">
        <v>0</v>
      </c>
      <c r="K56" s="112" t="b">
        <v>0</v>
      </c>
      <c r="L56" s="112" t="b">
        <v>0</v>
      </c>
    </row>
    <row r="57" spans="1:12" ht="15">
      <c r="A57" s="112" t="s">
        <v>1458</v>
      </c>
      <c r="B57" s="112" t="s">
        <v>1569</v>
      </c>
      <c r="C57" s="112">
        <v>2</v>
      </c>
      <c r="D57" s="115">
        <v>0.0011605159025385348</v>
      </c>
      <c r="E57" s="115">
        <v>2.1073839309888296</v>
      </c>
      <c r="F57" s="112" t="s">
        <v>329</v>
      </c>
      <c r="G57" s="112" t="b">
        <v>0</v>
      </c>
      <c r="H57" s="112" t="b">
        <v>0</v>
      </c>
      <c r="I57" s="112" t="b">
        <v>0</v>
      </c>
      <c r="J57" s="112" t="b">
        <v>0</v>
      </c>
      <c r="K57" s="112" t="b">
        <v>0</v>
      </c>
      <c r="L57" s="112" t="b">
        <v>0</v>
      </c>
    </row>
    <row r="58" spans="1:12" ht="15">
      <c r="A58" s="112" t="s">
        <v>1569</v>
      </c>
      <c r="B58" s="112" t="s">
        <v>1677</v>
      </c>
      <c r="C58" s="112">
        <v>2</v>
      </c>
      <c r="D58" s="115">
        <v>0.0011605159025385348</v>
      </c>
      <c r="E58" s="115">
        <v>2.9202972876316853</v>
      </c>
      <c r="F58" s="112" t="s">
        <v>329</v>
      </c>
      <c r="G58" s="112" t="b">
        <v>0</v>
      </c>
      <c r="H58" s="112" t="b">
        <v>0</v>
      </c>
      <c r="I58" s="112" t="b">
        <v>0</v>
      </c>
      <c r="J58" s="112" t="b">
        <v>0</v>
      </c>
      <c r="K58" s="112" t="b">
        <v>0</v>
      </c>
      <c r="L58" s="112" t="b">
        <v>0</v>
      </c>
    </row>
    <row r="59" spans="1:12" ht="15">
      <c r="A59" s="112" t="s">
        <v>1453</v>
      </c>
      <c r="B59" s="112" t="s">
        <v>321</v>
      </c>
      <c r="C59" s="112">
        <v>2</v>
      </c>
      <c r="D59" s="115">
        <v>0.0011605159025385348</v>
      </c>
      <c r="E59" s="115">
        <v>1.3888183705894301</v>
      </c>
      <c r="F59" s="112" t="s">
        <v>329</v>
      </c>
      <c r="G59" s="112" t="b">
        <v>1</v>
      </c>
      <c r="H59" s="112" t="b">
        <v>0</v>
      </c>
      <c r="I59" s="112" t="b">
        <v>0</v>
      </c>
      <c r="J59" s="112" t="b">
        <v>0</v>
      </c>
      <c r="K59" s="112" t="b">
        <v>0</v>
      </c>
      <c r="L59" s="112" t="b">
        <v>0</v>
      </c>
    </row>
    <row r="60" spans="1:12" ht="15">
      <c r="A60" s="112" t="s">
        <v>1450</v>
      </c>
      <c r="B60" s="112" t="s">
        <v>1513</v>
      </c>
      <c r="C60" s="112">
        <v>2</v>
      </c>
      <c r="D60" s="115">
        <v>0.0011605159025385348</v>
      </c>
      <c r="E60" s="115">
        <v>1.151905874537198</v>
      </c>
      <c r="F60" s="112" t="s">
        <v>329</v>
      </c>
      <c r="G60" s="112" t="b">
        <v>0</v>
      </c>
      <c r="H60" s="112" t="b">
        <v>0</v>
      </c>
      <c r="I60" s="112" t="b">
        <v>0</v>
      </c>
      <c r="J60" s="112" t="b">
        <v>0</v>
      </c>
      <c r="K60" s="112" t="b">
        <v>0</v>
      </c>
      <c r="L60" s="112" t="b">
        <v>0</v>
      </c>
    </row>
    <row r="61" spans="1:12" ht="15">
      <c r="A61" s="112" t="s">
        <v>1513</v>
      </c>
      <c r="B61" s="112" t="s">
        <v>1450</v>
      </c>
      <c r="C61" s="112">
        <v>2</v>
      </c>
      <c r="D61" s="115">
        <v>0.0011605159025385348</v>
      </c>
      <c r="E61" s="115">
        <v>1.1669696209730738</v>
      </c>
      <c r="F61" s="112" t="s">
        <v>329</v>
      </c>
      <c r="G61" s="112" t="b">
        <v>0</v>
      </c>
      <c r="H61" s="112" t="b">
        <v>0</v>
      </c>
      <c r="I61" s="112" t="b">
        <v>0</v>
      </c>
      <c r="J61" s="112" t="b">
        <v>0</v>
      </c>
      <c r="K61" s="112" t="b">
        <v>0</v>
      </c>
      <c r="L61" s="112" t="b">
        <v>0</v>
      </c>
    </row>
    <row r="62" spans="1:12" ht="15">
      <c r="A62" s="112" t="s">
        <v>1481</v>
      </c>
      <c r="B62" s="112" t="s">
        <v>1450</v>
      </c>
      <c r="C62" s="112">
        <v>2</v>
      </c>
      <c r="D62" s="115">
        <v>0.0011605159025385348</v>
      </c>
      <c r="E62" s="115">
        <v>0.9908783619173925</v>
      </c>
      <c r="F62" s="112" t="s">
        <v>329</v>
      </c>
      <c r="G62" s="112" t="b">
        <v>0</v>
      </c>
      <c r="H62" s="112" t="b">
        <v>0</v>
      </c>
      <c r="I62" s="112" t="b">
        <v>0</v>
      </c>
      <c r="J62" s="112" t="b">
        <v>0</v>
      </c>
      <c r="K62" s="112" t="b">
        <v>0</v>
      </c>
      <c r="L62" s="112" t="b">
        <v>0</v>
      </c>
    </row>
    <row r="63" spans="1:12" ht="15">
      <c r="A63" s="112" t="s">
        <v>1682</v>
      </c>
      <c r="B63" s="112" t="s">
        <v>298</v>
      </c>
      <c r="C63" s="112">
        <v>2</v>
      </c>
      <c r="D63" s="115">
        <v>0.0011605159025385348</v>
      </c>
      <c r="E63" s="115">
        <v>2.3182372963037228</v>
      </c>
      <c r="F63" s="112" t="s">
        <v>329</v>
      </c>
      <c r="G63" s="112" t="b">
        <v>0</v>
      </c>
      <c r="H63" s="112" t="b">
        <v>0</v>
      </c>
      <c r="I63" s="112" t="b">
        <v>0</v>
      </c>
      <c r="J63" s="112" t="b">
        <v>0</v>
      </c>
      <c r="K63" s="112" t="b">
        <v>0</v>
      </c>
      <c r="L63" s="112" t="b">
        <v>0</v>
      </c>
    </row>
    <row r="64" spans="1:12" ht="15">
      <c r="A64" s="112" t="s">
        <v>312</v>
      </c>
      <c r="B64" s="112" t="s">
        <v>1514</v>
      </c>
      <c r="C64" s="112">
        <v>2</v>
      </c>
      <c r="D64" s="115">
        <v>0.0011605159025385348</v>
      </c>
      <c r="E64" s="115">
        <v>2.494328555359404</v>
      </c>
      <c r="F64" s="112" t="s">
        <v>329</v>
      </c>
      <c r="G64" s="112" t="b">
        <v>0</v>
      </c>
      <c r="H64" s="112" t="b">
        <v>0</v>
      </c>
      <c r="I64" s="112" t="b">
        <v>0</v>
      </c>
      <c r="J64" s="112" t="b">
        <v>0</v>
      </c>
      <c r="K64" s="112" t="b">
        <v>0</v>
      </c>
      <c r="L64" s="112" t="b">
        <v>0</v>
      </c>
    </row>
    <row r="65" spans="1:12" ht="15">
      <c r="A65" s="112" t="s">
        <v>1514</v>
      </c>
      <c r="B65" s="112" t="s">
        <v>303</v>
      </c>
      <c r="C65" s="112">
        <v>2</v>
      </c>
      <c r="D65" s="115">
        <v>0.0011605159025385348</v>
      </c>
      <c r="E65" s="115">
        <v>2.619267291967704</v>
      </c>
      <c r="F65" s="112" t="s">
        <v>329</v>
      </c>
      <c r="G65" s="112" t="b">
        <v>0</v>
      </c>
      <c r="H65" s="112" t="b">
        <v>0</v>
      </c>
      <c r="I65" s="112" t="b">
        <v>0</v>
      </c>
      <c r="J65" s="112" t="b">
        <v>0</v>
      </c>
      <c r="K65" s="112" t="b">
        <v>0</v>
      </c>
      <c r="L65" s="112" t="b">
        <v>0</v>
      </c>
    </row>
    <row r="66" spans="1:12" ht="15">
      <c r="A66" s="112" t="s">
        <v>1684</v>
      </c>
      <c r="B66" s="112" t="s">
        <v>1487</v>
      </c>
      <c r="C66" s="112">
        <v>2</v>
      </c>
      <c r="D66" s="115">
        <v>0.0011605159025385348</v>
      </c>
      <c r="E66" s="115">
        <v>2.698448538015329</v>
      </c>
      <c r="F66" s="112" t="s">
        <v>329</v>
      </c>
      <c r="G66" s="112" t="b">
        <v>0</v>
      </c>
      <c r="H66" s="112" t="b">
        <v>0</v>
      </c>
      <c r="I66" s="112" t="b">
        <v>0</v>
      </c>
      <c r="J66" s="112" t="b">
        <v>0</v>
      </c>
      <c r="K66" s="112" t="b">
        <v>0</v>
      </c>
      <c r="L66" s="112" t="b">
        <v>0</v>
      </c>
    </row>
    <row r="67" spans="1:12" ht="15">
      <c r="A67" s="112" t="s">
        <v>1511</v>
      </c>
      <c r="B67" s="112" t="s">
        <v>1533</v>
      </c>
      <c r="C67" s="112">
        <v>2</v>
      </c>
      <c r="D67" s="115">
        <v>0.0011605159025385348</v>
      </c>
      <c r="E67" s="115">
        <v>2.619267291967704</v>
      </c>
      <c r="F67" s="112" t="s">
        <v>329</v>
      </c>
      <c r="G67" s="112" t="b">
        <v>0</v>
      </c>
      <c r="H67" s="112" t="b">
        <v>0</v>
      </c>
      <c r="I67" s="112" t="b">
        <v>0</v>
      </c>
      <c r="J67" s="112" t="b">
        <v>0</v>
      </c>
      <c r="K67" s="112" t="b">
        <v>0</v>
      </c>
      <c r="L67" s="112" t="b">
        <v>0</v>
      </c>
    </row>
    <row r="68" spans="1:12" ht="15">
      <c r="A68" s="112" t="s">
        <v>1533</v>
      </c>
      <c r="B68" s="112" t="s">
        <v>293</v>
      </c>
      <c r="C68" s="112">
        <v>2</v>
      </c>
      <c r="D68" s="115">
        <v>0.0011605159025385348</v>
      </c>
      <c r="E68" s="115">
        <v>1.8411160415840606</v>
      </c>
      <c r="F68" s="112" t="s">
        <v>329</v>
      </c>
      <c r="G68" s="112" t="b">
        <v>0</v>
      </c>
      <c r="H68" s="112" t="b">
        <v>0</v>
      </c>
      <c r="I68" s="112" t="b">
        <v>0</v>
      </c>
      <c r="J68" s="112" t="b">
        <v>0</v>
      </c>
      <c r="K68" s="112" t="b">
        <v>0</v>
      </c>
      <c r="L68" s="112" t="b">
        <v>0</v>
      </c>
    </row>
    <row r="69" spans="1:12" ht="15">
      <c r="A69" s="112" t="s">
        <v>293</v>
      </c>
      <c r="B69" s="112" t="s">
        <v>1508</v>
      </c>
      <c r="C69" s="112">
        <v>2</v>
      </c>
      <c r="D69" s="115">
        <v>0.0011605159025385348</v>
      </c>
      <c r="E69" s="115">
        <v>1.698448538015329</v>
      </c>
      <c r="F69" s="112" t="s">
        <v>329</v>
      </c>
      <c r="G69" s="112" t="b">
        <v>0</v>
      </c>
      <c r="H69" s="112" t="b">
        <v>0</v>
      </c>
      <c r="I69" s="112" t="b">
        <v>0</v>
      </c>
      <c r="J69" s="112" t="b">
        <v>0</v>
      </c>
      <c r="K69" s="112" t="b">
        <v>0</v>
      </c>
      <c r="L69" s="112" t="b">
        <v>0</v>
      </c>
    </row>
    <row r="70" spans="1:12" ht="15">
      <c r="A70" s="112" t="s">
        <v>1508</v>
      </c>
      <c r="B70" s="112" t="s">
        <v>1453</v>
      </c>
      <c r="C70" s="112">
        <v>2</v>
      </c>
      <c r="D70" s="115">
        <v>0.0011605159025385348</v>
      </c>
      <c r="E70" s="115">
        <v>1.577874606809479</v>
      </c>
      <c r="F70" s="112" t="s">
        <v>329</v>
      </c>
      <c r="G70" s="112" t="b">
        <v>0</v>
      </c>
      <c r="H70" s="112" t="b">
        <v>0</v>
      </c>
      <c r="I70" s="112" t="b">
        <v>0</v>
      </c>
      <c r="J70" s="112" t="b">
        <v>1</v>
      </c>
      <c r="K70" s="112" t="b">
        <v>0</v>
      </c>
      <c r="L70" s="112" t="b">
        <v>0</v>
      </c>
    </row>
    <row r="71" spans="1:12" ht="15">
      <c r="A71" s="112" t="s">
        <v>1453</v>
      </c>
      <c r="B71" s="112" t="s">
        <v>1509</v>
      </c>
      <c r="C71" s="112">
        <v>2</v>
      </c>
      <c r="D71" s="115">
        <v>0.0011605159025385348</v>
      </c>
      <c r="E71" s="115">
        <v>1.5649096296451115</v>
      </c>
      <c r="F71" s="112" t="s">
        <v>329</v>
      </c>
      <c r="G71" s="112" t="b">
        <v>1</v>
      </c>
      <c r="H71" s="112" t="b">
        <v>0</v>
      </c>
      <c r="I71" s="112" t="b">
        <v>0</v>
      </c>
      <c r="J71" s="112" t="b">
        <v>0</v>
      </c>
      <c r="K71" s="112" t="b">
        <v>0</v>
      </c>
      <c r="L71" s="112" t="b">
        <v>0</v>
      </c>
    </row>
    <row r="72" spans="1:12" ht="15">
      <c r="A72" s="112" t="s">
        <v>1509</v>
      </c>
      <c r="B72" s="112" t="s">
        <v>1453</v>
      </c>
      <c r="C72" s="112">
        <v>2</v>
      </c>
      <c r="D72" s="115">
        <v>0.0011605159025385348</v>
      </c>
      <c r="E72" s="115">
        <v>1.577874606809479</v>
      </c>
      <c r="F72" s="112" t="s">
        <v>329</v>
      </c>
      <c r="G72" s="112" t="b">
        <v>0</v>
      </c>
      <c r="H72" s="112" t="b">
        <v>0</v>
      </c>
      <c r="I72" s="112" t="b">
        <v>0</v>
      </c>
      <c r="J72" s="112" t="b">
        <v>1</v>
      </c>
      <c r="K72" s="112" t="b">
        <v>0</v>
      </c>
      <c r="L72" s="112" t="b">
        <v>0</v>
      </c>
    </row>
    <row r="73" spans="1:12" ht="15">
      <c r="A73" s="112" t="s">
        <v>1468</v>
      </c>
      <c r="B73" s="112" t="s">
        <v>1470</v>
      </c>
      <c r="C73" s="112">
        <v>2</v>
      </c>
      <c r="D73" s="115">
        <v>0.0011605159025385348</v>
      </c>
      <c r="E73" s="115">
        <v>2.0082524579868153</v>
      </c>
      <c r="F73" s="112" t="s">
        <v>329</v>
      </c>
      <c r="G73" s="112" t="b">
        <v>0</v>
      </c>
      <c r="H73" s="112" t="b">
        <v>0</v>
      </c>
      <c r="I73" s="112" t="b">
        <v>0</v>
      </c>
      <c r="J73" s="112" t="b">
        <v>0</v>
      </c>
      <c r="K73" s="112" t="b">
        <v>0</v>
      </c>
      <c r="L73" s="112" t="b">
        <v>0</v>
      </c>
    </row>
    <row r="74" spans="1:12" ht="15">
      <c r="A74" s="112" t="s">
        <v>1470</v>
      </c>
      <c r="B74" s="112" t="s">
        <v>1685</v>
      </c>
      <c r="C74" s="112">
        <v>2</v>
      </c>
      <c r="D74" s="115">
        <v>0.0011605159025385348</v>
      </c>
      <c r="E74" s="115">
        <v>2.552320502337091</v>
      </c>
      <c r="F74" s="112" t="s">
        <v>329</v>
      </c>
      <c r="G74" s="112" t="b">
        <v>0</v>
      </c>
      <c r="H74" s="112" t="b">
        <v>0</v>
      </c>
      <c r="I74" s="112" t="b">
        <v>0</v>
      </c>
      <c r="J74" s="112" t="b">
        <v>0</v>
      </c>
      <c r="K74" s="112" t="b">
        <v>0</v>
      </c>
      <c r="L74" s="112" t="b">
        <v>0</v>
      </c>
    </row>
    <row r="75" spans="1:12" ht="15">
      <c r="A75" s="112" t="s">
        <v>1685</v>
      </c>
      <c r="B75" s="112" t="s">
        <v>1686</v>
      </c>
      <c r="C75" s="112">
        <v>2</v>
      </c>
      <c r="D75" s="115">
        <v>0.0011605159025385348</v>
      </c>
      <c r="E75" s="115">
        <v>3.0963885466873666</v>
      </c>
      <c r="F75" s="112" t="s">
        <v>329</v>
      </c>
      <c r="G75" s="112" t="b">
        <v>0</v>
      </c>
      <c r="H75" s="112" t="b">
        <v>0</v>
      </c>
      <c r="I75" s="112" t="b">
        <v>0</v>
      </c>
      <c r="J75" s="112" t="b">
        <v>0</v>
      </c>
      <c r="K75" s="112" t="b">
        <v>0</v>
      </c>
      <c r="L75" s="112" t="b">
        <v>0</v>
      </c>
    </row>
    <row r="76" spans="1:12" ht="15">
      <c r="A76" s="112" t="s">
        <v>1686</v>
      </c>
      <c r="B76" s="112" t="s">
        <v>1687</v>
      </c>
      <c r="C76" s="112">
        <v>2</v>
      </c>
      <c r="D76" s="115">
        <v>0.0011605159025385348</v>
      </c>
      <c r="E76" s="115">
        <v>3.0963885466873666</v>
      </c>
      <c r="F76" s="112" t="s">
        <v>329</v>
      </c>
      <c r="G76" s="112" t="b">
        <v>0</v>
      </c>
      <c r="H76" s="112" t="b">
        <v>0</v>
      </c>
      <c r="I76" s="112" t="b">
        <v>0</v>
      </c>
      <c r="J76" s="112" t="b">
        <v>0</v>
      </c>
      <c r="K76" s="112" t="b">
        <v>0</v>
      </c>
      <c r="L76" s="112" t="b">
        <v>0</v>
      </c>
    </row>
    <row r="77" spans="1:12" ht="15">
      <c r="A77" s="112" t="s">
        <v>1687</v>
      </c>
      <c r="B77" s="112" t="s">
        <v>1491</v>
      </c>
      <c r="C77" s="112">
        <v>2</v>
      </c>
      <c r="D77" s="115">
        <v>0.0011605159025385348</v>
      </c>
      <c r="E77" s="115">
        <v>2.698448538015329</v>
      </c>
      <c r="F77" s="112" t="s">
        <v>329</v>
      </c>
      <c r="G77" s="112" t="b">
        <v>0</v>
      </c>
      <c r="H77" s="112" t="b">
        <v>0</v>
      </c>
      <c r="I77" s="112" t="b">
        <v>0</v>
      </c>
      <c r="J77" s="112" t="b">
        <v>0</v>
      </c>
      <c r="K77" s="112" t="b">
        <v>0</v>
      </c>
      <c r="L77" s="112" t="b">
        <v>0</v>
      </c>
    </row>
    <row r="78" spans="1:12" ht="15">
      <c r="A78" s="112" t="s">
        <v>298</v>
      </c>
      <c r="B78" s="112" t="s">
        <v>312</v>
      </c>
      <c r="C78" s="112">
        <v>2</v>
      </c>
      <c r="D78" s="115">
        <v>0.0011605159025385348</v>
      </c>
      <c r="E78" s="115">
        <v>2.142146037248042</v>
      </c>
      <c r="F78" s="112" t="s">
        <v>329</v>
      </c>
      <c r="G78" s="112" t="b">
        <v>0</v>
      </c>
      <c r="H78" s="112" t="b">
        <v>0</v>
      </c>
      <c r="I78" s="112" t="b">
        <v>0</v>
      </c>
      <c r="J78" s="112" t="b">
        <v>0</v>
      </c>
      <c r="K78" s="112" t="b">
        <v>0</v>
      </c>
      <c r="L78" s="112" t="b">
        <v>0</v>
      </c>
    </row>
    <row r="79" spans="1:12" ht="15">
      <c r="A79" s="112" t="s">
        <v>312</v>
      </c>
      <c r="B79" s="112" t="s">
        <v>306</v>
      </c>
      <c r="C79" s="112">
        <v>2</v>
      </c>
      <c r="D79" s="115">
        <v>0.0011605159025385348</v>
      </c>
      <c r="E79" s="115">
        <v>2.142146037248042</v>
      </c>
      <c r="F79" s="112" t="s">
        <v>329</v>
      </c>
      <c r="G79" s="112" t="b">
        <v>0</v>
      </c>
      <c r="H79" s="112" t="b">
        <v>0</v>
      </c>
      <c r="I79" s="112" t="b">
        <v>0</v>
      </c>
      <c r="J79" s="112" t="b">
        <v>0</v>
      </c>
      <c r="K79" s="112" t="b">
        <v>0</v>
      </c>
      <c r="L79" s="112" t="b">
        <v>0</v>
      </c>
    </row>
    <row r="80" spans="1:12" ht="15">
      <c r="A80" s="112" t="s">
        <v>306</v>
      </c>
      <c r="B80" s="112" t="s">
        <v>293</v>
      </c>
      <c r="C80" s="112">
        <v>2</v>
      </c>
      <c r="D80" s="115">
        <v>0.0011605159025385348</v>
      </c>
      <c r="E80" s="115">
        <v>1.363994786864398</v>
      </c>
      <c r="F80" s="112" t="s">
        <v>329</v>
      </c>
      <c r="G80" s="112" t="b">
        <v>0</v>
      </c>
      <c r="H80" s="112" t="b">
        <v>0</v>
      </c>
      <c r="I80" s="112" t="b">
        <v>0</v>
      </c>
      <c r="J80" s="112" t="b">
        <v>0</v>
      </c>
      <c r="K80" s="112" t="b">
        <v>0</v>
      </c>
      <c r="L80" s="112" t="b">
        <v>0</v>
      </c>
    </row>
    <row r="81" spans="1:12" ht="15">
      <c r="A81" s="112" t="s">
        <v>293</v>
      </c>
      <c r="B81" s="112" t="s">
        <v>322</v>
      </c>
      <c r="C81" s="112">
        <v>2</v>
      </c>
      <c r="D81" s="115">
        <v>0.0011605159025385348</v>
      </c>
      <c r="E81" s="115">
        <v>1.9994785336793102</v>
      </c>
      <c r="F81" s="112" t="s">
        <v>329</v>
      </c>
      <c r="G81" s="112" t="b">
        <v>0</v>
      </c>
      <c r="H81" s="112" t="b">
        <v>0</v>
      </c>
      <c r="I81" s="112" t="b">
        <v>0</v>
      </c>
      <c r="J81" s="112" t="b">
        <v>1</v>
      </c>
      <c r="K81" s="112" t="b">
        <v>0</v>
      </c>
      <c r="L81" s="112" t="b">
        <v>0</v>
      </c>
    </row>
    <row r="82" spans="1:12" ht="15">
      <c r="A82" s="112" t="s">
        <v>322</v>
      </c>
      <c r="B82" s="112" t="s">
        <v>1516</v>
      </c>
      <c r="C82" s="112">
        <v>2</v>
      </c>
      <c r="D82" s="115">
        <v>0.0011605159025385348</v>
      </c>
      <c r="E82" s="115">
        <v>2.7953585510233854</v>
      </c>
      <c r="F82" s="112" t="s">
        <v>329</v>
      </c>
      <c r="G82" s="112" t="b">
        <v>1</v>
      </c>
      <c r="H82" s="112" t="b">
        <v>0</v>
      </c>
      <c r="I82" s="112" t="b">
        <v>0</v>
      </c>
      <c r="J82" s="112" t="b">
        <v>0</v>
      </c>
      <c r="K82" s="112" t="b">
        <v>0</v>
      </c>
      <c r="L82" s="112" t="b">
        <v>0</v>
      </c>
    </row>
    <row r="83" spans="1:12" ht="15">
      <c r="A83" s="112" t="s">
        <v>1516</v>
      </c>
      <c r="B83" s="112" t="s">
        <v>1491</v>
      </c>
      <c r="C83" s="112">
        <v>2</v>
      </c>
      <c r="D83" s="115">
        <v>0.0011605159025385348</v>
      </c>
      <c r="E83" s="115">
        <v>2.522357278959648</v>
      </c>
      <c r="F83" s="112" t="s">
        <v>329</v>
      </c>
      <c r="G83" s="112" t="b">
        <v>0</v>
      </c>
      <c r="H83" s="112" t="b">
        <v>0</v>
      </c>
      <c r="I83" s="112" t="b">
        <v>0</v>
      </c>
      <c r="J83" s="112" t="b">
        <v>0</v>
      </c>
      <c r="K83" s="112" t="b">
        <v>0</v>
      </c>
      <c r="L83" s="112" t="b">
        <v>0</v>
      </c>
    </row>
    <row r="84" spans="1:12" ht="15">
      <c r="A84" s="112" t="s">
        <v>298</v>
      </c>
      <c r="B84" s="112" t="s">
        <v>287</v>
      </c>
      <c r="C84" s="112">
        <v>2</v>
      </c>
      <c r="D84" s="115">
        <v>0.0011605159025385348</v>
      </c>
      <c r="E84" s="115">
        <v>1.204293943996886</v>
      </c>
      <c r="F84" s="112" t="s">
        <v>329</v>
      </c>
      <c r="G84" s="112" t="b">
        <v>0</v>
      </c>
      <c r="H84" s="112" t="b">
        <v>0</v>
      </c>
      <c r="I84" s="112" t="b">
        <v>0</v>
      </c>
      <c r="J84" s="112" t="b">
        <v>0</v>
      </c>
      <c r="K84" s="112" t="b">
        <v>0</v>
      </c>
      <c r="L84" s="112" t="b">
        <v>0</v>
      </c>
    </row>
    <row r="85" spans="1:12" ht="15">
      <c r="A85" s="112" t="s">
        <v>316</v>
      </c>
      <c r="B85" s="112" t="s">
        <v>1464</v>
      </c>
      <c r="C85" s="112">
        <v>2</v>
      </c>
      <c r="D85" s="115">
        <v>0.0011605159025385348</v>
      </c>
      <c r="E85" s="115">
        <v>2.193298559695423</v>
      </c>
      <c r="F85" s="112" t="s">
        <v>329</v>
      </c>
      <c r="G85" s="112" t="b">
        <v>0</v>
      </c>
      <c r="H85" s="112" t="b">
        <v>0</v>
      </c>
      <c r="I85" s="112" t="b">
        <v>0</v>
      </c>
      <c r="J85" s="112" t="b">
        <v>0</v>
      </c>
      <c r="K85" s="112" t="b">
        <v>0</v>
      </c>
      <c r="L85" s="112" t="b">
        <v>0</v>
      </c>
    </row>
    <row r="86" spans="1:12" ht="15">
      <c r="A86" s="112" t="s">
        <v>1494</v>
      </c>
      <c r="B86" s="112" t="s">
        <v>1453</v>
      </c>
      <c r="C86" s="112">
        <v>2</v>
      </c>
      <c r="D86" s="115">
        <v>0.0013958794644337506</v>
      </c>
      <c r="E86" s="115">
        <v>1.4809645938014226</v>
      </c>
      <c r="F86" s="112" t="s">
        <v>329</v>
      </c>
      <c r="G86" s="112" t="b">
        <v>1</v>
      </c>
      <c r="H86" s="112" t="b">
        <v>0</v>
      </c>
      <c r="I86" s="112" t="b">
        <v>0</v>
      </c>
      <c r="J86" s="112" t="b">
        <v>1</v>
      </c>
      <c r="K86" s="112" t="b">
        <v>0</v>
      </c>
      <c r="L86" s="112" t="b">
        <v>0</v>
      </c>
    </row>
    <row r="87" spans="1:12" ht="15">
      <c r="A87" s="112" t="s">
        <v>1710</v>
      </c>
      <c r="B87" s="112" t="s">
        <v>1711</v>
      </c>
      <c r="C87" s="112">
        <v>2</v>
      </c>
      <c r="D87" s="115">
        <v>0.0013958794644337506</v>
      </c>
      <c r="E87" s="115">
        <v>3.0963885466873666</v>
      </c>
      <c r="F87" s="112" t="s">
        <v>329</v>
      </c>
      <c r="G87" s="112" t="b">
        <v>0</v>
      </c>
      <c r="H87" s="112" t="b">
        <v>0</v>
      </c>
      <c r="I87" s="112" t="b">
        <v>0</v>
      </c>
      <c r="J87" s="112" t="b">
        <v>0</v>
      </c>
      <c r="K87" s="112" t="b">
        <v>0</v>
      </c>
      <c r="L87" s="112" t="b">
        <v>0</v>
      </c>
    </row>
    <row r="88" spans="1:12" ht="15">
      <c r="A88" s="112" t="s">
        <v>1713</v>
      </c>
      <c r="B88" s="112" t="s">
        <v>1714</v>
      </c>
      <c r="C88" s="112">
        <v>2</v>
      </c>
      <c r="D88" s="115">
        <v>0.0013958794644337506</v>
      </c>
      <c r="E88" s="115">
        <v>3.0963885466873666</v>
      </c>
      <c r="F88" s="112" t="s">
        <v>329</v>
      </c>
      <c r="G88" s="112" t="b">
        <v>0</v>
      </c>
      <c r="H88" s="112" t="b">
        <v>0</v>
      </c>
      <c r="I88" s="112" t="b">
        <v>0</v>
      </c>
      <c r="J88" s="112" t="b">
        <v>0</v>
      </c>
      <c r="K88" s="112" t="b">
        <v>0</v>
      </c>
      <c r="L88" s="112" t="b">
        <v>0</v>
      </c>
    </row>
    <row r="89" spans="1:12" ht="15">
      <c r="A89" s="112" t="s">
        <v>286</v>
      </c>
      <c r="B89" s="112" t="s">
        <v>1715</v>
      </c>
      <c r="C89" s="112">
        <v>2</v>
      </c>
      <c r="D89" s="115">
        <v>0.0011605159025385348</v>
      </c>
      <c r="E89" s="115">
        <v>2.619267291967704</v>
      </c>
      <c r="F89" s="112" t="s">
        <v>329</v>
      </c>
      <c r="G89" s="112" t="b">
        <v>0</v>
      </c>
      <c r="H89" s="112" t="b">
        <v>0</v>
      </c>
      <c r="I89" s="112" t="b">
        <v>0</v>
      </c>
      <c r="J89" s="112" t="b">
        <v>0</v>
      </c>
      <c r="K89" s="112" t="b">
        <v>0</v>
      </c>
      <c r="L89" s="112" t="b">
        <v>0</v>
      </c>
    </row>
    <row r="90" spans="1:12" ht="15">
      <c r="A90" s="112" t="s">
        <v>1468</v>
      </c>
      <c r="B90" s="112" t="s">
        <v>1571</v>
      </c>
      <c r="C90" s="112">
        <v>2</v>
      </c>
      <c r="D90" s="115">
        <v>0.0013958794644337506</v>
      </c>
      <c r="E90" s="115">
        <v>2.3762292432814096</v>
      </c>
      <c r="F90" s="112" t="s">
        <v>329</v>
      </c>
      <c r="G90" s="112" t="b">
        <v>0</v>
      </c>
      <c r="H90" s="112" t="b">
        <v>0</v>
      </c>
      <c r="I90" s="112" t="b">
        <v>0</v>
      </c>
      <c r="J90" s="112" t="b">
        <v>0</v>
      </c>
      <c r="K90" s="112" t="b">
        <v>0</v>
      </c>
      <c r="L90" s="112" t="b">
        <v>0</v>
      </c>
    </row>
    <row r="91" spans="1:12" ht="15">
      <c r="A91" s="112" t="s">
        <v>1571</v>
      </c>
      <c r="B91" s="112" t="s">
        <v>1719</v>
      </c>
      <c r="C91" s="112">
        <v>2</v>
      </c>
      <c r="D91" s="115">
        <v>0.0013958794644337506</v>
      </c>
      <c r="E91" s="115">
        <v>2.9202972876316853</v>
      </c>
      <c r="F91" s="112" t="s">
        <v>329</v>
      </c>
      <c r="G91" s="112" t="b">
        <v>0</v>
      </c>
      <c r="H91" s="112" t="b">
        <v>0</v>
      </c>
      <c r="I91" s="112" t="b">
        <v>0</v>
      </c>
      <c r="J91" s="112" t="b">
        <v>0</v>
      </c>
      <c r="K91" s="112" t="b">
        <v>0</v>
      </c>
      <c r="L91" s="112" t="b">
        <v>0</v>
      </c>
    </row>
    <row r="92" spans="1:12" ht="15">
      <c r="A92" s="112" t="s">
        <v>1585</v>
      </c>
      <c r="B92" s="112" t="s">
        <v>291</v>
      </c>
      <c r="C92" s="112">
        <v>2</v>
      </c>
      <c r="D92" s="115">
        <v>0.0013958794644337506</v>
      </c>
      <c r="E92" s="115">
        <v>2.9202972876316853</v>
      </c>
      <c r="F92" s="112" t="s">
        <v>329</v>
      </c>
      <c r="G92" s="112" t="b">
        <v>0</v>
      </c>
      <c r="H92" s="112" t="b">
        <v>0</v>
      </c>
      <c r="I92" s="112" t="b">
        <v>0</v>
      </c>
      <c r="J92" s="112" t="b">
        <v>0</v>
      </c>
      <c r="K92" s="112" t="b">
        <v>0</v>
      </c>
      <c r="L92" s="112" t="b">
        <v>0</v>
      </c>
    </row>
    <row r="93" spans="1:12" ht="15">
      <c r="A93" s="112" t="s">
        <v>1458</v>
      </c>
      <c r="B93" s="112" t="s">
        <v>1584</v>
      </c>
      <c r="C93" s="112">
        <v>2</v>
      </c>
      <c r="D93" s="115">
        <v>0.0013958794644337506</v>
      </c>
      <c r="E93" s="115">
        <v>2.1073839309888296</v>
      </c>
      <c r="F93" s="112" t="s">
        <v>329</v>
      </c>
      <c r="G93" s="112" t="b">
        <v>0</v>
      </c>
      <c r="H93" s="112" t="b">
        <v>0</v>
      </c>
      <c r="I93" s="112" t="b">
        <v>0</v>
      </c>
      <c r="J93" s="112" t="b">
        <v>0</v>
      </c>
      <c r="K93" s="112" t="b">
        <v>0</v>
      </c>
      <c r="L93" s="112" t="b">
        <v>0</v>
      </c>
    </row>
    <row r="94" spans="1:12" ht="15">
      <c r="A94" s="112" t="s">
        <v>1728</v>
      </c>
      <c r="B94" s="112" t="s">
        <v>1729</v>
      </c>
      <c r="C94" s="112">
        <v>2</v>
      </c>
      <c r="D94" s="115">
        <v>0.0013958794644337506</v>
      </c>
      <c r="E94" s="115">
        <v>3.0963885466873666</v>
      </c>
      <c r="F94" s="112" t="s">
        <v>329</v>
      </c>
      <c r="G94" s="112" t="b">
        <v>0</v>
      </c>
      <c r="H94" s="112" t="b">
        <v>0</v>
      </c>
      <c r="I94" s="112" t="b">
        <v>0</v>
      </c>
      <c r="J94" s="112" t="b">
        <v>0</v>
      </c>
      <c r="K94" s="112" t="b">
        <v>0</v>
      </c>
      <c r="L94" s="112" t="b">
        <v>0</v>
      </c>
    </row>
    <row r="95" spans="1:12" ht="15">
      <c r="A95" s="112" t="s">
        <v>1454</v>
      </c>
      <c r="B95" s="112" t="s">
        <v>1472</v>
      </c>
      <c r="C95" s="112">
        <v>2</v>
      </c>
      <c r="D95" s="115">
        <v>0.0011605159025385348</v>
      </c>
      <c r="E95" s="115">
        <v>1.3888183705894301</v>
      </c>
      <c r="F95" s="112" t="s">
        <v>329</v>
      </c>
      <c r="G95" s="112" t="b">
        <v>0</v>
      </c>
      <c r="H95" s="112" t="b">
        <v>0</v>
      </c>
      <c r="I95" s="112" t="b">
        <v>0</v>
      </c>
      <c r="J95" s="112" t="b">
        <v>0</v>
      </c>
      <c r="K95" s="112" t="b">
        <v>0</v>
      </c>
      <c r="L95" s="112" t="b">
        <v>0</v>
      </c>
    </row>
    <row r="96" spans="1:12" ht="15">
      <c r="A96" s="112" t="s">
        <v>1457</v>
      </c>
      <c r="B96" s="112" t="s">
        <v>1452</v>
      </c>
      <c r="C96" s="112">
        <v>2</v>
      </c>
      <c r="D96" s="115">
        <v>0.0013958794644337506</v>
      </c>
      <c r="E96" s="115">
        <v>0.9312926719331485</v>
      </c>
      <c r="F96" s="112" t="s">
        <v>329</v>
      </c>
      <c r="G96" s="112" t="b">
        <v>0</v>
      </c>
      <c r="H96" s="112" t="b">
        <v>0</v>
      </c>
      <c r="I96" s="112" t="b">
        <v>0</v>
      </c>
      <c r="J96" s="112" t="b">
        <v>0</v>
      </c>
      <c r="K96" s="112" t="b">
        <v>0</v>
      </c>
      <c r="L96" s="112" t="b">
        <v>0</v>
      </c>
    </row>
    <row r="97" spans="1:12" ht="15">
      <c r="A97" s="112" t="s">
        <v>292</v>
      </c>
      <c r="B97" s="112" t="s">
        <v>1589</v>
      </c>
      <c r="C97" s="112">
        <v>2</v>
      </c>
      <c r="D97" s="115">
        <v>0.0013958794644337506</v>
      </c>
      <c r="E97" s="115">
        <v>2.3762292432814096</v>
      </c>
      <c r="F97" s="112" t="s">
        <v>329</v>
      </c>
      <c r="G97" s="112" t="b">
        <v>0</v>
      </c>
      <c r="H97" s="112" t="b">
        <v>0</v>
      </c>
      <c r="I97" s="112" t="b">
        <v>0</v>
      </c>
      <c r="J97" s="112" t="b">
        <v>0</v>
      </c>
      <c r="K97" s="112" t="b">
        <v>0</v>
      </c>
      <c r="L97" s="112" t="b">
        <v>0</v>
      </c>
    </row>
    <row r="98" spans="1:12" ht="15">
      <c r="A98" s="112" t="s">
        <v>287</v>
      </c>
      <c r="B98" s="112" t="s">
        <v>1739</v>
      </c>
      <c r="C98" s="112">
        <v>2</v>
      </c>
      <c r="D98" s="115">
        <v>0.0013958794644337506</v>
      </c>
      <c r="E98" s="115">
        <v>2.0172073006397415</v>
      </c>
      <c r="F98" s="112" t="s">
        <v>329</v>
      </c>
      <c r="G98" s="112" t="b">
        <v>0</v>
      </c>
      <c r="H98" s="112" t="b">
        <v>0</v>
      </c>
      <c r="I98" s="112" t="b">
        <v>0</v>
      </c>
      <c r="J98" s="112" t="b">
        <v>0</v>
      </c>
      <c r="K98" s="112" t="b">
        <v>0</v>
      </c>
      <c r="L98" s="112" t="b">
        <v>0</v>
      </c>
    </row>
    <row r="99" spans="1:12" ht="15">
      <c r="A99" s="112" t="s">
        <v>1462</v>
      </c>
      <c r="B99" s="112" t="s">
        <v>1450</v>
      </c>
      <c r="C99" s="112">
        <v>2</v>
      </c>
      <c r="D99" s="115">
        <v>0.0011605159025385348</v>
      </c>
      <c r="E99" s="115">
        <v>0.8659396253090926</v>
      </c>
      <c r="F99" s="112" t="s">
        <v>329</v>
      </c>
      <c r="G99" s="112" t="b">
        <v>0</v>
      </c>
      <c r="H99" s="112" t="b">
        <v>0</v>
      </c>
      <c r="I99" s="112" t="b">
        <v>0</v>
      </c>
      <c r="J99" s="112" t="b">
        <v>0</v>
      </c>
      <c r="K99" s="112" t="b">
        <v>0</v>
      </c>
      <c r="L99" s="112" t="b">
        <v>0</v>
      </c>
    </row>
    <row r="100" spans="1:12" ht="15">
      <c r="A100" s="112" t="s">
        <v>1451</v>
      </c>
      <c r="B100" s="112" t="s">
        <v>1583</v>
      </c>
      <c r="C100" s="112">
        <v>2</v>
      </c>
      <c r="D100" s="115">
        <v>0.0011605159025385348</v>
      </c>
      <c r="E100" s="115">
        <v>1.4151473093117792</v>
      </c>
      <c r="F100" s="112" t="s">
        <v>329</v>
      </c>
      <c r="G100" s="112" t="b">
        <v>0</v>
      </c>
      <c r="H100" s="112" t="b">
        <v>0</v>
      </c>
      <c r="I100" s="112" t="b">
        <v>0</v>
      </c>
      <c r="J100" s="112" t="b">
        <v>0</v>
      </c>
      <c r="K100" s="112" t="b">
        <v>0</v>
      </c>
      <c r="L100" s="112" t="b">
        <v>0</v>
      </c>
    </row>
    <row r="101" spans="1:12" ht="15">
      <c r="A101" s="112" t="s">
        <v>302</v>
      </c>
      <c r="B101" s="112" t="s">
        <v>1744</v>
      </c>
      <c r="C101" s="112">
        <v>2</v>
      </c>
      <c r="D101" s="115">
        <v>0.0011605159025385348</v>
      </c>
      <c r="E101" s="115">
        <v>2.142146037248042</v>
      </c>
      <c r="F101" s="112" t="s">
        <v>329</v>
      </c>
      <c r="G101" s="112" t="b">
        <v>0</v>
      </c>
      <c r="H101" s="112" t="b">
        <v>0</v>
      </c>
      <c r="I101" s="112" t="b">
        <v>0</v>
      </c>
      <c r="J101" s="112" t="b">
        <v>0</v>
      </c>
      <c r="K101" s="112" t="b">
        <v>0</v>
      </c>
      <c r="L101" s="112" t="b">
        <v>0</v>
      </c>
    </row>
    <row r="102" spans="1:12" ht="15">
      <c r="A102" s="112" t="s">
        <v>1752</v>
      </c>
      <c r="B102" s="112" t="s">
        <v>1469</v>
      </c>
      <c r="C102" s="112">
        <v>2</v>
      </c>
      <c r="D102" s="115">
        <v>0.0013958794644337506</v>
      </c>
      <c r="E102" s="115">
        <v>2.552320502337091</v>
      </c>
      <c r="F102" s="112" t="s">
        <v>329</v>
      </c>
      <c r="G102" s="112" t="b">
        <v>0</v>
      </c>
      <c r="H102" s="112" t="b">
        <v>0</v>
      </c>
      <c r="I102" s="112" t="b">
        <v>0</v>
      </c>
      <c r="J102" s="112" t="b">
        <v>0</v>
      </c>
      <c r="K102" s="112" t="b">
        <v>0</v>
      </c>
      <c r="L102" s="112" t="b">
        <v>0</v>
      </c>
    </row>
    <row r="103" spans="1:12" ht="15">
      <c r="A103" s="112" t="s">
        <v>1495</v>
      </c>
      <c r="B103" s="112" t="s">
        <v>1450</v>
      </c>
      <c r="C103" s="112">
        <v>2</v>
      </c>
      <c r="D103" s="115">
        <v>0.0013958794644337506</v>
      </c>
      <c r="E103" s="115">
        <v>1.0700596079650173</v>
      </c>
      <c r="F103" s="112" t="s">
        <v>329</v>
      </c>
      <c r="G103" s="112" t="b">
        <v>0</v>
      </c>
      <c r="H103" s="112" t="b">
        <v>0</v>
      </c>
      <c r="I103" s="112" t="b">
        <v>0</v>
      </c>
      <c r="J103" s="112" t="b">
        <v>0</v>
      </c>
      <c r="K103" s="112" t="b">
        <v>0</v>
      </c>
      <c r="L103" s="112" t="b">
        <v>0</v>
      </c>
    </row>
    <row r="104" spans="1:12" ht="15">
      <c r="A104" s="112" t="s">
        <v>1761</v>
      </c>
      <c r="B104" s="112" t="s">
        <v>1495</v>
      </c>
      <c r="C104" s="112">
        <v>2</v>
      </c>
      <c r="D104" s="115">
        <v>0.0013958794644337506</v>
      </c>
      <c r="E104" s="115">
        <v>2.698448538015329</v>
      </c>
      <c r="F104" s="112" t="s">
        <v>329</v>
      </c>
      <c r="G104" s="112" t="b">
        <v>0</v>
      </c>
      <c r="H104" s="112" t="b">
        <v>0</v>
      </c>
      <c r="I104" s="112" t="b">
        <v>0</v>
      </c>
      <c r="J104" s="112" t="b">
        <v>0</v>
      </c>
      <c r="K104" s="112" t="b">
        <v>0</v>
      </c>
      <c r="L104" s="112" t="b">
        <v>0</v>
      </c>
    </row>
    <row r="105" spans="1:12" ht="15">
      <c r="A105" s="112" t="s">
        <v>1766</v>
      </c>
      <c r="B105" s="112" t="s">
        <v>1767</v>
      </c>
      <c r="C105" s="112">
        <v>2</v>
      </c>
      <c r="D105" s="115">
        <v>0.0013958794644337506</v>
      </c>
      <c r="E105" s="115">
        <v>3.0963885466873666</v>
      </c>
      <c r="F105" s="112" t="s">
        <v>329</v>
      </c>
      <c r="G105" s="112" t="b">
        <v>0</v>
      </c>
      <c r="H105" s="112" t="b">
        <v>0</v>
      </c>
      <c r="I105" s="112" t="b">
        <v>0</v>
      </c>
      <c r="J105" s="112" t="b">
        <v>0</v>
      </c>
      <c r="K105" s="112" t="b">
        <v>0</v>
      </c>
      <c r="L105" s="112" t="b">
        <v>0</v>
      </c>
    </row>
    <row r="106" spans="1:12" ht="15">
      <c r="A106" s="112" t="s">
        <v>1593</v>
      </c>
      <c r="B106" s="112" t="s">
        <v>1452</v>
      </c>
      <c r="C106" s="112">
        <v>2</v>
      </c>
      <c r="D106" s="115">
        <v>0.0013958794644337506</v>
      </c>
      <c r="E106" s="115">
        <v>1.6302626762691672</v>
      </c>
      <c r="F106" s="112" t="s">
        <v>329</v>
      </c>
      <c r="G106" s="112" t="b">
        <v>0</v>
      </c>
      <c r="H106" s="112" t="b">
        <v>0</v>
      </c>
      <c r="I106" s="112" t="b">
        <v>0</v>
      </c>
      <c r="J106" s="112" t="b">
        <v>0</v>
      </c>
      <c r="K106" s="112" t="b">
        <v>0</v>
      </c>
      <c r="L106" s="112" t="b">
        <v>0</v>
      </c>
    </row>
    <row r="107" spans="1:12" ht="15">
      <c r="A107" s="112" t="s">
        <v>1777</v>
      </c>
      <c r="B107" s="112" t="s">
        <v>297</v>
      </c>
      <c r="C107" s="112">
        <v>2</v>
      </c>
      <c r="D107" s="115">
        <v>0.0013958794644337506</v>
      </c>
      <c r="E107" s="115">
        <v>2.7953585510233854</v>
      </c>
      <c r="F107" s="112" t="s">
        <v>329</v>
      </c>
      <c r="G107" s="112" t="b">
        <v>0</v>
      </c>
      <c r="H107" s="112" t="b">
        <v>0</v>
      </c>
      <c r="I107" s="112" t="b">
        <v>0</v>
      </c>
      <c r="J107" s="112" t="b">
        <v>0</v>
      </c>
      <c r="K107" s="112" t="b">
        <v>0</v>
      </c>
      <c r="L107" s="112" t="b">
        <v>0</v>
      </c>
    </row>
    <row r="108" spans="1:12" ht="15">
      <c r="A108" s="112" t="s">
        <v>1450</v>
      </c>
      <c r="B108" s="112" t="s">
        <v>1451</v>
      </c>
      <c r="C108" s="112">
        <v>31</v>
      </c>
      <c r="D108" s="115">
        <v>0.011111948526240123</v>
      </c>
      <c r="E108" s="115">
        <v>1.4271207975795843</v>
      </c>
      <c r="F108" s="112" t="s">
        <v>232</v>
      </c>
      <c r="G108" s="112" t="b">
        <v>0</v>
      </c>
      <c r="H108" s="112" t="b">
        <v>0</v>
      </c>
      <c r="I108" s="112" t="b">
        <v>0</v>
      </c>
      <c r="J108" s="112" t="b">
        <v>0</v>
      </c>
      <c r="K108" s="112" t="b">
        <v>0</v>
      </c>
      <c r="L108" s="112" t="b">
        <v>0</v>
      </c>
    </row>
    <row r="109" spans="1:12" ht="15">
      <c r="A109" s="112" t="s">
        <v>1452</v>
      </c>
      <c r="B109" s="112" t="s">
        <v>1455</v>
      </c>
      <c r="C109" s="112">
        <v>8</v>
      </c>
      <c r="D109" s="115">
        <v>0.006855383580371426</v>
      </c>
      <c r="E109" s="115">
        <v>1.4733026110679113</v>
      </c>
      <c r="F109" s="112" t="s">
        <v>232</v>
      </c>
      <c r="G109" s="112" t="b">
        <v>0</v>
      </c>
      <c r="H109" s="112" t="b">
        <v>0</v>
      </c>
      <c r="I109" s="112" t="b">
        <v>0</v>
      </c>
      <c r="J109" s="112" t="b">
        <v>0</v>
      </c>
      <c r="K109" s="112" t="b">
        <v>0</v>
      </c>
      <c r="L109" s="112" t="b">
        <v>0</v>
      </c>
    </row>
    <row r="110" spans="1:12" ht="15">
      <c r="A110" s="112" t="s">
        <v>1451</v>
      </c>
      <c r="B110" s="112" t="s">
        <v>1450</v>
      </c>
      <c r="C110" s="112">
        <v>5</v>
      </c>
      <c r="D110" s="115">
        <v>0.004284614737732142</v>
      </c>
      <c r="E110" s="115">
        <v>0.659512776868427</v>
      </c>
      <c r="F110" s="112" t="s">
        <v>232</v>
      </c>
      <c r="G110" s="112" t="b">
        <v>0</v>
      </c>
      <c r="H110" s="112" t="b">
        <v>0</v>
      </c>
      <c r="I110" s="112" t="b">
        <v>0</v>
      </c>
      <c r="J110" s="112" t="b">
        <v>0</v>
      </c>
      <c r="K110" s="112" t="b">
        <v>0</v>
      </c>
      <c r="L110" s="112" t="b">
        <v>0</v>
      </c>
    </row>
    <row r="111" spans="1:12" ht="15">
      <c r="A111" s="112" t="s">
        <v>1450</v>
      </c>
      <c r="B111" s="112" t="s">
        <v>1481</v>
      </c>
      <c r="C111" s="112">
        <v>4</v>
      </c>
      <c r="D111" s="115">
        <v>0.004049922387555611</v>
      </c>
      <c r="E111" s="115">
        <v>1.4409090820652177</v>
      </c>
      <c r="F111" s="112" t="s">
        <v>232</v>
      </c>
      <c r="G111" s="112" t="b">
        <v>0</v>
      </c>
      <c r="H111" s="112" t="b">
        <v>0</v>
      </c>
      <c r="I111" s="112" t="b">
        <v>0</v>
      </c>
      <c r="J111" s="112" t="b">
        <v>0</v>
      </c>
      <c r="K111" s="112" t="b">
        <v>0</v>
      </c>
      <c r="L111" s="112" t="b">
        <v>0</v>
      </c>
    </row>
    <row r="112" spans="1:12" ht="15">
      <c r="A112" s="112" t="s">
        <v>1455</v>
      </c>
      <c r="B112" s="112" t="s">
        <v>1452</v>
      </c>
      <c r="C112" s="112">
        <v>3</v>
      </c>
      <c r="D112" s="115">
        <v>0.0030374417906667084</v>
      </c>
      <c r="E112" s="115">
        <v>1.0473338787956301</v>
      </c>
      <c r="F112" s="112" t="s">
        <v>232</v>
      </c>
      <c r="G112" s="112" t="b">
        <v>0</v>
      </c>
      <c r="H112" s="112" t="b">
        <v>0</v>
      </c>
      <c r="I112" s="112" t="b">
        <v>0</v>
      </c>
      <c r="J112" s="112" t="b">
        <v>0</v>
      </c>
      <c r="K112" s="112" t="b">
        <v>0</v>
      </c>
      <c r="L112" s="112" t="b">
        <v>0</v>
      </c>
    </row>
    <row r="113" spans="1:12" ht="15">
      <c r="A113" s="112" t="s">
        <v>1451</v>
      </c>
      <c r="B113" s="112" t="s">
        <v>1454</v>
      </c>
      <c r="C113" s="112">
        <v>3</v>
      </c>
      <c r="D113" s="115">
        <v>0.002570768842639285</v>
      </c>
      <c r="E113" s="115">
        <v>0.949547388230945</v>
      </c>
      <c r="F113" s="112" t="s">
        <v>232</v>
      </c>
      <c r="G113" s="112" t="b">
        <v>0</v>
      </c>
      <c r="H113" s="112" t="b">
        <v>0</v>
      </c>
      <c r="I113" s="112" t="b">
        <v>0</v>
      </c>
      <c r="J113" s="112" t="b">
        <v>0</v>
      </c>
      <c r="K113" s="112" t="b">
        <v>0</v>
      </c>
      <c r="L113" s="112" t="b">
        <v>0</v>
      </c>
    </row>
    <row r="114" spans="1:12" ht="15">
      <c r="A114" s="112" t="s">
        <v>1587</v>
      </c>
      <c r="B114" s="112" t="s">
        <v>1471</v>
      </c>
      <c r="C114" s="112">
        <v>3</v>
      </c>
      <c r="D114" s="115">
        <v>0.002570768842639285</v>
      </c>
      <c r="E114" s="115">
        <v>2.3439990690571615</v>
      </c>
      <c r="F114" s="112" t="s">
        <v>232</v>
      </c>
      <c r="G114" s="112" t="b">
        <v>0</v>
      </c>
      <c r="H114" s="112" t="b">
        <v>0</v>
      </c>
      <c r="I114" s="112" t="b">
        <v>0</v>
      </c>
      <c r="J114" s="112" t="b">
        <v>0</v>
      </c>
      <c r="K114" s="112" t="b">
        <v>0</v>
      </c>
      <c r="L114" s="112" t="b">
        <v>0</v>
      </c>
    </row>
    <row r="115" spans="1:12" ht="15">
      <c r="A115" s="112" t="s">
        <v>1452</v>
      </c>
      <c r="B115" s="112" t="s">
        <v>1521</v>
      </c>
      <c r="C115" s="112">
        <v>3</v>
      </c>
      <c r="D115" s="115">
        <v>0.00383522446468786</v>
      </c>
      <c r="E115" s="115">
        <v>1.4866665726258927</v>
      </c>
      <c r="F115" s="112" t="s">
        <v>232</v>
      </c>
      <c r="G115" s="112" t="b">
        <v>0</v>
      </c>
      <c r="H115" s="112" t="b">
        <v>0</v>
      </c>
      <c r="I115" s="112" t="b">
        <v>0</v>
      </c>
      <c r="J115" s="112" t="b">
        <v>0</v>
      </c>
      <c r="K115" s="112" t="b">
        <v>0</v>
      </c>
      <c r="L115" s="112" t="b">
        <v>0</v>
      </c>
    </row>
    <row r="116" spans="1:12" ht="15">
      <c r="A116" s="112" t="s">
        <v>1521</v>
      </c>
      <c r="B116" s="112" t="s">
        <v>1450</v>
      </c>
      <c r="C116" s="112">
        <v>3</v>
      </c>
      <c r="D116" s="115">
        <v>0.00383522446468786</v>
      </c>
      <c r="E116" s="115">
        <v>1.326965729758381</v>
      </c>
      <c r="F116" s="112" t="s">
        <v>232</v>
      </c>
      <c r="G116" s="112" t="b">
        <v>0</v>
      </c>
      <c r="H116" s="112" t="b">
        <v>0</v>
      </c>
      <c r="I116" s="112" t="b">
        <v>0</v>
      </c>
      <c r="J116" s="112" t="b">
        <v>0</v>
      </c>
      <c r="K116" s="112" t="b">
        <v>0</v>
      </c>
      <c r="L116" s="112" t="b">
        <v>0</v>
      </c>
    </row>
    <row r="117" spans="1:12" ht="15">
      <c r="A117" s="112" t="s">
        <v>302</v>
      </c>
      <c r="B117" s="112" t="s">
        <v>1477</v>
      </c>
      <c r="C117" s="112">
        <v>3</v>
      </c>
      <c r="D117" s="115">
        <v>0.0030374417906667084</v>
      </c>
      <c r="E117" s="115">
        <v>2.1978710333789233</v>
      </c>
      <c r="F117" s="112" t="s">
        <v>232</v>
      </c>
      <c r="G117" s="112" t="b">
        <v>0</v>
      </c>
      <c r="H117" s="112" t="b">
        <v>0</v>
      </c>
      <c r="I117" s="112" t="b">
        <v>0</v>
      </c>
      <c r="J117" s="112" t="b">
        <v>1</v>
      </c>
      <c r="K117" s="112" t="b">
        <v>0</v>
      </c>
      <c r="L117" s="112" t="b">
        <v>0</v>
      </c>
    </row>
    <row r="118" spans="1:12" ht="15">
      <c r="A118" s="112" t="s">
        <v>1585</v>
      </c>
      <c r="B118" s="112" t="s">
        <v>291</v>
      </c>
      <c r="C118" s="112">
        <v>2</v>
      </c>
      <c r="D118" s="115">
        <v>0.0025568163097919065</v>
      </c>
      <c r="E118" s="115">
        <v>2.5658478186735176</v>
      </c>
      <c r="F118" s="112" t="s">
        <v>232</v>
      </c>
      <c r="G118" s="112" t="b">
        <v>0</v>
      </c>
      <c r="H118" s="112" t="b">
        <v>0</v>
      </c>
      <c r="I118" s="112" t="b">
        <v>0</v>
      </c>
      <c r="J118" s="112" t="b">
        <v>0</v>
      </c>
      <c r="K118" s="112" t="b">
        <v>0</v>
      </c>
      <c r="L118" s="112" t="b">
        <v>0</v>
      </c>
    </row>
    <row r="119" spans="1:12" ht="15">
      <c r="A119" s="112" t="s">
        <v>1458</v>
      </c>
      <c r="B119" s="112" t="s">
        <v>1584</v>
      </c>
      <c r="C119" s="112">
        <v>2</v>
      </c>
      <c r="D119" s="115">
        <v>0.0025568163097919065</v>
      </c>
      <c r="E119" s="115">
        <v>1.9126353048981741</v>
      </c>
      <c r="F119" s="112" t="s">
        <v>232</v>
      </c>
      <c r="G119" s="112" t="b">
        <v>0</v>
      </c>
      <c r="H119" s="112" t="b">
        <v>0</v>
      </c>
      <c r="I119" s="112" t="b">
        <v>0</v>
      </c>
      <c r="J119" s="112" t="b">
        <v>0</v>
      </c>
      <c r="K119" s="112" t="b">
        <v>0</v>
      </c>
      <c r="L119" s="112" t="b">
        <v>0</v>
      </c>
    </row>
    <row r="120" spans="1:12" ht="15">
      <c r="A120" s="112" t="s">
        <v>1728</v>
      </c>
      <c r="B120" s="112" t="s">
        <v>1729</v>
      </c>
      <c r="C120" s="112">
        <v>2</v>
      </c>
      <c r="D120" s="115">
        <v>0.0025568163097919065</v>
      </c>
      <c r="E120" s="115">
        <v>2.741939077729199</v>
      </c>
      <c r="F120" s="112" t="s">
        <v>232</v>
      </c>
      <c r="G120" s="112" t="b">
        <v>0</v>
      </c>
      <c r="H120" s="112" t="b">
        <v>0</v>
      </c>
      <c r="I120" s="112" t="b">
        <v>0</v>
      </c>
      <c r="J120" s="112" t="b">
        <v>0</v>
      </c>
      <c r="K120" s="112" t="b">
        <v>0</v>
      </c>
      <c r="L120" s="112" t="b">
        <v>0</v>
      </c>
    </row>
    <row r="121" spans="1:12" ht="15">
      <c r="A121" s="112" t="s">
        <v>1454</v>
      </c>
      <c r="B121" s="112" t="s">
        <v>1472</v>
      </c>
      <c r="C121" s="112">
        <v>2</v>
      </c>
      <c r="D121" s="115">
        <v>0.0020249611937778055</v>
      </c>
      <c r="E121" s="115">
        <v>1.627995725422362</v>
      </c>
      <c r="F121" s="112" t="s">
        <v>232</v>
      </c>
      <c r="G121" s="112" t="b">
        <v>0</v>
      </c>
      <c r="H121" s="112" t="b">
        <v>0</v>
      </c>
      <c r="I121" s="112" t="b">
        <v>0</v>
      </c>
      <c r="J121" s="112" t="b">
        <v>0</v>
      </c>
      <c r="K121" s="112" t="b">
        <v>0</v>
      </c>
      <c r="L121" s="112" t="b">
        <v>0</v>
      </c>
    </row>
    <row r="122" spans="1:12" ht="15">
      <c r="A122" s="112" t="s">
        <v>1457</v>
      </c>
      <c r="B122" s="112" t="s">
        <v>1452</v>
      </c>
      <c r="C122" s="112">
        <v>2</v>
      </c>
      <c r="D122" s="115">
        <v>0.0025568163097919065</v>
      </c>
      <c r="E122" s="115">
        <v>1.0095453179062304</v>
      </c>
      <c r="F122" s="112" t="s">
        <v>232</v>
      </c>
      <c r="G122" s="112" t="b">
        <v>0</v>
      </c>
      <c r="H122" s="112" t="b">
        <v>0</v>
      </c>
      <c r="I122" s="112" t="b">
        <v>0</v>
      </c>
      <c r="J122" s="112" t="b">
        <v>0</v>
      </c>
      <c r="K122" s="112" t="b">
        <v>0</v>
      </c>
      <c r="L122" s="112" t="b">
        <v>0</v>
      </c>
    </row>
    <row r="123" spans="1:12" ht="15">
      <c r="A123" s="112" t="s">
        <v>1473</v>
      </c>
      <c r="B123" s="112" t="s">
        <v>1456</v>
      </c>
      <c r="C123" s="112">
        <v>2</v>
      </c>
      <c r="D123" s="115">
        <v>0.0020249611937778055</v>
      </c>
      <c r="E123" s="115">
        <v>2.0887265639538555</v>
      </c>
      <c r="F123" s="112" t="s">
        <v>232</v>
      </c>
      <c r="G123" s="112" t="b">
        <v>0</v>
      </c>
      <c r="H123" s="112" t="b">
        <v>0</v>
      </c>
      <c r="I123" s="112" t="b">
        <v>0</v>
      </c>
      <c r="J123" s="112" t="b">
        <v>0</v>
      </c>
      <c r="K123" s="112" t="b">
        <v>0</v>
      </c>
      <c r="L123" s="112" t="b">
        <v>0</v>
      </c>
    </row>
    <row r="124" spans="1:12" ht="15">
      <c r="A124" s="112" t="s">
        <v>292</v>
      </c>
      <c r="B124" s="112" t="s">
        <v>1589</v>
      </c>
      <c r="C124" s="112">
        <v>2</v>
      </c>
      <c r="D124" s="115">
        <v>0.0025568163097919065</v>
      </c>
      <c r="E124" s="115">
        <v>2.3897565596178363</v>
      </c>
      <c r="F124" s="112" t="s">
        <v>232</v>
      </c>
      <c r="G124" s="112" t="b">
        <v>0</v>
      </c>
      <c r="H124" s="112" t="b">
        <v>0</v>
      </c>
      <c r="I124" s="112" t="b">
        <v>0</v>
      </c>
      <c r="J124" s="112" t="b">
        <v>0</v>
      </c>
      <c r="K124" s="112" t="b">
        <v>0</v>
      </c>
      <c r="L124" s="112" t="b">
        <v>0</v>
      </c>
    </row>
    <row r="125" spans="1:12" ht="15">
      <c r="A125" s="112" t="s">
        <v>287</v>
      </c>
      <c r="B125" s="112" t="s">
        <v>1739</v>
      </c>
      <c r="C125" s="112">
        <v>2</v>
      </c>
      <c r="D125" s="115">
        <v>0.0025568163097919065</v>
      </c>
      <c r="E125" s="115">
        <v>2.0429690733931802</v>
      </c>
      <c r="F125" s="112" t="s">
        <v>232</v>
      </c>
      <c r="G125" s="112" t="b">
        <v>0</v>
      </c>
      <c r="H125" s="112" t="b">
        <v>0</v>
      </c>
      <c r="I125" s="112" t="b">
        <v>0</v>
      </c>
      <c r="J125" s="112" t="b">
        <v>0</v>
      </c>
      <c r="K125" s="112" t="b">
        <v>0</v>
      </c>
      <c r="L125" s="112" t="b">
        <v>0</v>
      </c>
    </row>
    <row r="126" spans="1:12" ht="15">
      <c r="A126" s="112" t="s">
        <v>1462</v>
      </c>
      <c r="B126" s="112" t="s">
        <v>1450</v>
      </c>
      <c r="C126" s="112">
        <v>2</v>
      </c>
      <c r="D126" s="115">
        <v>0.0020249611937778055</v>
      </c>
      <c r="E126" s="115">
        <v>1.0539644576946432</v>
      </c>
      <c r="F126" s="112" t="s">
        <v>232</v>
      </c>
      <c r="G126" s="112" t="b">
        <v>0</v>
      </c>
      <c r="H126" s="112" t="b">
        <v>0</v>
      </c>
      <c r="I126" s="112" t="b">
        <v>0</v>
      </c>
      <c r="J126" s="112" t="b">
        <v>0</v>
      </c>
      <c r="K126" s="112" t="b">
        <v>0</v>
      </c>
      <c r="L126" s="112" t="b">
        <v>0</v>
      </c>
    </row>
    <row r="127" spans="1:12" ht="15">
      <c r="A127" s="112" t="s">
        <v>1451</v>
      </c>
      <c r="B127" s="112" t="s">
        <v>1583</v>
      </c>
      <c r="C127" s="112">
        <v>2</v>
      </c>
      <c r="D127" s="115">
        <v>0.0020249611937778055</v>
      </c>
      <c r="E127" s="115">
        <v>1.5516073795589074</v>
      </c>
      <c r="F127" s="112" t="s">
        <v>232</v>
      </c>
      <c r="G127" s="112" t="b">
        <v>0</v>
      </c>
      <c r="H127" s="112" t="b">
        <v>0</v>
      </c>
      <c r="I127" s="112" t="b">
        <v>0</v>
      </c>
      <c r="J127" s="112" t="b">
        <v>0</v>
      </c>
      <c r="K127" s="112" t="b">
        <v>0</v>
      </c>
      <c r="L127" s="112" t="b">
        <v>0</v>
      </c>
    </row>
    <row r="128" spans="1:12" ht="15">
      <c r="A128" s="112" t="s">
        <v>302</v>
      </c>
      <c r="B128" s="112" t="s">
        <v>1744</v>
      </c>
      <c r="C128" s="112">
        <v>2</v>
      </c>
      <c r="D128" s="115">
        <v>0.0020249611937778055</v>
      </c>
      <c r="E128" s="115">
        <v>2.1978710333789233</v>
      </c>
      <c r="F128" s="112" t="s">
        <v>232</v>
      </c>
      <c r="G128" s="112" t="b">
        <v>0</v>
      </c>
      <c r="H128" s="112" t="b">
        <v>0</v>
      </c>
      <c r="I128" s="112" t="b">
        <v>0</v>
      </c>
      <c r="J128" s="112" t="b">
        <v>0</v>
      </c>
      <c r="K128" s="112" t="b">
        <v>0</v>
      </c>
      <c r="L128" s="112" t="b">
        <v>0</v>
      </c>
    </row>
    <row r="129" spans="1:12" ht="15">
      <c r="A129" s="112" t="s">
        <v>1752</v>
      </c>
      <c r="B129" s="112" t="s">
        <v>1469</v>
      </c>
      <c r="C129" s="112">
        <v>2</v>
      </c>
      <c r="D129" s="115">
        <v>0.0025568163097919065</v>
      </c>
      <c r="E129" s="115">
        <v>2.2648178230095364</v>
      </c>
      <c r="F129" s="112" t="s">
        <v>232</v>
      </c>
      <c r="G129" s="112" t="b">
        <v>0</v>
      </c>
      <c r="H129" s="112" t="b">
        <v>0</v>
      </c>
      <c r="I129" s="112" t="b">
        <v>0</v>
      </c>
      <c r="J129" s="112" t="b">
        <v>0</v>
      </c>
      <c r="K129" s="112" t="b">
        <v>0</v>
      </c>
      <c r="L129" s="112" t="b">
        <v>0</v>
      </c>
    </row>
    <row r="130" spans="1:12" ht="15">
      <c r="A130" s="112" t="s">
        <v>1495</v>
      </c>
      <c r="B130" s="112" t="s">
        <v>1450</v>
      </c>
      <c r="C130" s="112">
        <v>2</v>
      </c>
      <c r="D130" s="115">
        <v>0.0025568163097919065</v>
      </c>
      <c r="E130" s="115">
        <v>1.0539644576946432</v>
      </c>
      <c r="F130" s="112" t="s">
        <v>232</v>
      </c>
      <c r="G130" s="112" t="b">
        <v>0</v>
      </c>
      <c r="H130" s="112" t="b">
        <v>0</v>
      </c>
      <c r="I130" s="112" t="b">
        <v>0</v>
      </c>
      <c r="J130" s="112" t="b">
        <v>0</v>
      </c>
      <c r="K130" s="112" t="b">
        <v>0</v>
      </c>
      <c r="L130" s="112" t="b">
        <v>0</v>
      </c>
    </row>
    <row r="131" spans="1:12" ht="15">
      <c r="A131" s="112" t="s">
        <v>1450</v>
      </c>
      <c r="B131" s="112" t="s">
        <v>1459</v>
      </c>
      <c r="C131" s="112">
        <v>2</v>
      </c>
      <c r="D131" s="115">
        <v>0.0025568163097919065</v>
      </c>
      <c r="E131" s="115">
        <v>1.4409090820652177</v>
      </c>
      <c r="F131" s="112" t="s">
        <v>232</v>
      </c>
      <c r="G131" s="112" t="b">
        <v>0</v>
      </c>
      <c r="H131" s="112" t="b">
        <v>0</v>
      </c>
      <c r="I131" s="112" t="b">
        <v>0</v>
      </c>
      <c r="J131" s="112" t="b">
        <v>0</v>
      </c>
      <c r="K131" s="112" t="b">
        <v>0</v>
      </c>
      <c r="L131" s="112" t="b">
        <v>0</v>
      </c>
    </row>
    <row r="132" spans="1:12" ht="15">
      <c r="A132" s="112" t="s">
        <v>1761</v>
      </c>
      <c r="B132" s="112" t="s">
        <v>1495</v>
      </c>
      <c r="C132" s="112">
        <v>2</v>
      </c>
      <c r="D132" s="115">
        <v>0.0025568163097919065</v>
      </c>
      <c r="E132" s="115">
        <v>2.343999069057161</v>
      </c>
      <c r="F132" s="112" t="s">
        <v>232</v>
      </c>
      <c r="G132" s="112" t="b">
        <v>0</v>
      </c>
      <c r="H132" s="112" t="b">
        <v>0</v>
      </c>
      <c r="I132" s="112" t="b">
        <v>0</v>
      </c>
      <c r="J132" s="112" t="b">
        <v>0</v>
      </c>
      <c r="K132" s="112" t="b">
        <v>0</v>
      </c>
      <c r="L132" s="112" t="b">
        <v>0</v>
      </c>
    </row>
    <row r="133" spans="1:12" ht="15">
      <c r="A133" s="112" t="s">
        <v>1766</v>
      </c>
      <c r="B133" s="112" t="s">
        <v>1767</v>
      </c>
      <c r="C133" s="112">
        <v>2</v>
      </c>
      <c r="D133" s="115">
        <v>0.0025568163097919065</v>
      </c>
      <c r="E133" s="115">
        <v>2.741939077729199</v>
      </c>
      <c r="F133" s="112" t="s">
        <v>232</v>
      </c>
      <c r="G133" s="112" t="b">
        <v>0</v>
      </c>
      <c r="H133" s="112" t="b">
        <v>0</v>
      </c>
      <c r="I133" s="112" t="b">
        <v>0</v>
      </c>
      <c r="J133" s="112" t="b">
        <v>0</v>
      </c>
      <c r="K133" s="112" t="b">
        <v>0</v>
      </c>
      <c r="L133" s="112" t="b">
        <v>0</v>
      </c>
    </row>
    <row r="134" spans="1:12" ht="15">
      <c r="A134" s="112" t="s">
        <v>1593</v>
      </c>
      <c r="B134" s="112" t="s">
        <v>1452</v>
      </c>
      <c r="C134" s="112">
        <v>2</v>
      </c>
      <c r="D134" s="115">
        <v>0.0025568163097919065</v>
      </c>
      <c r="E134" s="115">
        <v>1.4355140501785115</v>
      </c>
      <c r="F134" s="112" t="s">
        <v>232</v>
      </c>
      <c r="G134" s="112" t="b">
        <v>0</v>
      </c>
      <c r="H134" s="112" t="b">
        <v>0</v>
      </c>
      <c r="I134" s="112" t="b">
        <v>0</v>
      </c>
      <c r="J134" s="112" t="b">
        <v>0</v>
      </c>
      <c r="K134" s="112" t="b">
        <v>0</v>
      </c>
      <c r="L134" s="112" t="b">
        <v>0</v>
      </c>
    </row>
    <row r="135" spans="1:12" ht="15">
      <c r="A135" s="112" t="s">
        <v>1777</v>
      </c>
      <c r="B135" s="112" t="s">
        <v>297</v>
      </c>
      <c r="C135" s="112">
        <v>2</v>
      </c>
      <c r="D135" s="115">
        <v>0.0025568163097919065</v>
      </c>
      <c r="E135" s="115">
        <v>2.741939077729199</v>
      </c>
      <c r="F135" s="112" t="s">
        <v>232</v>
      </c>
      <c r="G135" s="112" t="b">
        <v>0</v>
      </c>
      <c r="H135" s="112" t="b">
        <v>0</v>
      </c>
      <c r="I135" s="112" t="b">
        <v>0</v>
      </c>
      <c r="J135" s="112" t="b">
        <v>0</v>
      </c>
      <c r="K135" s="112" t="b">
        <v>0</v>
      </c>
      <c r="L135" s="112" t="b">
        <v>0</v>
      </c>
    </row>
    <row r="136" spans="1:12" ht="15">
      <c r="A136" s="112" t="s">
        <v>1558</v>
      </c>
      <c r="B136" s="112" t="s">
        <v>1487</v>
      </c>
      <c r="C136" s="112">
        <v>2</v>
      </c>
      <c r="D136" s="115">
        <v>0.0025568163097919065</v>
      </c>
      <c r="E136" s="115">
        <v>2.5658478186735176</v>
      </c>
      <c r="F136" s="112" t="s">
        <v>232</v>
      </c>
      <c r="G136" s="112" t="b">
        <v>0</v>
      </c>
      <c r="H136" s="112" t="b">
        <v>0</v>
      </c>
      <c r="I136" s="112" t="b">
        <v>0</v>
      </c>
      <c r="J136" s="112" t="b">
        <v>0</v>
      </c>
      <c r="K136" s="112" t="b">
        <v>0</v>
      </c>
      <c r="L136" s="112" t="b">
        <v>0</v>
      </c>
    </row>
    <row r="137" spans="1:12" ht="15">
      <c r="A137" s="112" t="s">
        <v>302</v>
      </c>
      <c r="B137" s="112" t="s">
        <v>1455</v>
      </c>
      <c r="C137" s="112">
        <v>4</v>
      </c>
      <c r="D137" s="115">
        <v>0.01564331982687418</v>
      </c>
      <c r="E137" s="115">
        <v>1.2973957110088872</v>
      </c>
      <c r="F137" s="112" t="s">
        <v>233</v>
      </c>
      <c r="G137" s="112" t="b">
        <v>0</v>
      </c>
      <c r="H137" s="112" t="b">
        <v>0</v>
      </c>
      <c r="I137" s="112" t="b">
        <v>0</v>
      </c>
      <c r="J137" s="112" t="b">
        <v>0</v>
      </c>
      <c r="K137" s="112" t="b">
        <v>0</v>
      </c>
      <c r="L137" s="112" t="b">
        <v>0</v>
      </c>
    </row>
    <row r="138" spans="1:12" ht="15">
      <c r="A138" s="112" t="s">
        <v>1450</v>
      </c>
      <c r="B138" s="112" t="s">
        <v>1451</v>
      </c>
      <c r="C138" s="112">
        <v>3</v>
      </c>
      <c r="D138" s="115">
        <v>0.004330112927598719</v>
      </c>
      <c r="E138" s="115">
        <v>1.5984257066728682</v>
      </c>
      <c r="F138" s="112" t="s">
        <v>233</v>
      </c>
      <c r="G138" s="112" t="b">
        <v>0</v>
      </c>
      <c r="H138" s="112" t="b">
        <v>0</v>
      </c>
      <c r="I138" s="112" t="b">
        <v>0</v>
      </c>
      <c r="J138" s="112" t="b">
        <v>0</v>
      </c>
      <c r="K138" s="112" t="b">
        <v>0</v>
      </c>
      <c r="L138" s="112" t="b">
        <v>0</v>
      </c>
    </row>
    <row r="139" spans="1:12" ht="15">
      <c r="A139" s="112" t="s">
        <v>1605</v>
      </c>
      <c r="B139" s="112" t="s">
        <v>1606</v>
      </c>
      <c r="C139" s="112">
        <v>2</v>
      </c>
      <c r="D139" s="115">
        <v>0.00782165991343709</v>
      </c>
      <c r="E139" s="115">
        <v>1.7745169657285496</v>
      </c>
      <c r="F139" s="112" t="s">
        <v>233</v>
      </c>
      <c r="G139" s="112" t="b">
        <v>0</v>
      </c>
      <c r="H139" s="112" t="b">
        <v>0</v>
      </c>
      <c r="I139" s="112" t="b">
        <v>0</v>
      </c>
      <c r="J139" s="112" t="b">
        <v>0</v>
      </c>
      <c r="K139" s="112" t="b">
        <v>0</v>
      </c>
      <c r="L139" s="112" t="b">
        <v>0</v>
      </c>
    </row>
    <row r="140" spans="1:12" ht="15">
      <c r="A140" s="112" t="s">
        <v>1454</v>
      </c>
      <c r="B140" s="112" t="s">
        <v>302</v>
      </c>
      <c r="C140" s="112">
        <v>2</v>
      </c>
      <c r="D140" s="115">
        <v>0.00782165991343709</v>
      </c>
      <c r="E140" s="115">
        <v>0.996365715344906</v>
      </c>
      <c r="F140" s="112" t="s">
        <v>233</v>
      </c>
      <c r="G140" s="112" t="b">
        <v>0</v>
      </c>
      <c r="H140" s="112" t="b">
        <v>0</v>
      </c>
      <c r="I140" s="112" t="b">
        <v>0</v>
      </c>
      <c r="J140" s="112" t="b">
        <v>0</v>
      </c>
      <c r="K140" s="112" t="b">
        <v>0</v>
      </c>
      <c r="L140" s="112" t="b">
        <v>0</v>
      </c>
    </row>
    <row r="141" spans="1:12" ht="15">
      <c r="A141" s="112" t="s">
        <v>1503</v>
      </c>
      <c r="B141" s="112" t="s">
        <v>1456</v>
      </c>
      <c r="C141" s="112">
        <v>2</v>
      </c>
      <c r="D141" s="115">
        <v>0.00782165991343709</v>
      </c>
      <c r="E141" s="115">
        <v>1.4734869700645683</v>
      </c>
      <c r="F141" s="112" t="s">
        <v>233</v>
      </c>
      <c r="G141" s="112" t="b">
        <v>0</v>
      </c>
      <c r="H141" s="112" t="b">
        <v>0</v>
      </c>
      <c r="I141" s="112" t="b">
        <v>0</v>
      </c>
      <c r="J141" s="112" t="b">
        <v>0</v>
      </c>
      <c r="K141" s="112" t="b">
        <v>0</v>
      </c>
      <c r="L141" s="112" t="b">
        <v>0</v>
      </c>
    </row>
    <row r="142" spans="1:12" ht="15">
      <c r="A142" s="112" t="s">
        <v>1452</v>
      </c>
      <c r="B142" s="112" t="s">
        <v>1613</v>
      </c>
      <c r="C142" s="112">
        <v>2</v>
      </c>
      <c r="D142" s="115">
        <v>0.00782165991343709</v>
      </c>
      <c r="E142" s="115">
        <v>1.3765769570565118</v>
      </c>
      <c r="F142" s="112" t="s">
        <v>233</v>
      </c>
      <c r="G142" s="112" t="b">
        <v>0</v>
      </c>
      <c r="H142" s="112" t="b">
        <v>0</v>
      </c>
      <c r="I142" s="112" t="b">
        <v>0</v>
      </c>
      <c r="J142" s="112" t="b">
        <v>0</v>
      </c>
      <c r="K142" s="112" t="b">
        <v>0</v>
      </c>
      <c r="L142" s="112" t="b">
        <v>0</v>
      </c>
    </row>
    <row r="143" spans="1:12" ht="15">
      <c r="A143" s="112" t="s">
        <v>1450</v>
      </c>
      <c r="B143" s="112" t="s">
        <v>1451</v>
      </c>
      <c r="C143" s="112">
        <v>2</v>
      </c>
      <c r="D143" s="115">
        <v>0.0029368780064778655</v>
      </c>
      <c r="E143" s="115">
        <v>1.8260748027008264</v>
      </c>
      <c r="F143" s="112" t="s">
        <v>234</v>
      </c>
      <c r="G143" s="112" t="b">
        <v>0</v>
      </c>
      <c r="H143" s="112" t="b">
        <v>0</v>
      </c>
      <c r="I143" s="112" t="b">
        <v>0</v>
      </c>
      <c r="J143" s="112" t="b">
        <v>0</v>
      </c>
      <c r="K143" s="112" t="b">
        <v>0</v>
      </c>
      <c r="L143" s="112" t="b">
        <v>0</v>
      </c>
    </row>
    <row r="144" spans="1:12" ht="15">
      <c r="A144" s="112" t="s">
        <v>1503</v>
      </c>
      <c r="B144" s="112" t="s">
        <v>1456</v>
      </c>
      <c r="C144" s="112">
        <v>2</v>
      </c>
      <c r="D144" s="115">
        <v>0.005873756012955731</v>
      </c>
      <c r="E144" s="115">
        <v>1.7011360660925265</v>
      </c>
      <c r="F144" s="112" t="s">
        <v>234</v>
      </c>
      <c r="G144" s="112" t="b">
        <v>0</v>
      </c>
      <c r="H144" s="112" t="b">
        <v>0</v>
      </c>
      <c r="I144" s="112" t="b">
        <v>0</v>
      </c>
      <c r="J144" s="112" t="b">
        <v>0</v>
      </c>
      <c r="K144" s="112" t="b">
        <v>0</v>
      </c>
      <c r="L144" s="112" t="b">
        <v>0</v>
      </c>
    </row>
    <row r="145" spans="1:12" ht="15">
      <c r="A145" s="112" t="s">
        <v>1494</v>
      </c>
      <c r="B145" s="112" t="s">
        <v>1453</v>
      </c>
      <c r="C145" s="112">
        <v>2</v>
      </c>
      <c r="D145" s="115">
        <v>0.005873756012955731</v>
      </c>
      <c r="E145" s="115">
        <v>1.8260748027008264</v>
      </c>
      <c r="F145" s="112" t="s">
        <v>234</v>
      </c>
      <c r="G145" s="112" t="b">
        <v>1</v>
      </c>
      <c r="H145" s="112" t="b">
        <v>0</v>
      </c>
      <c r="I145" s="112" t="b">
        <v>0</v>
      </c>
      <c r="J145" s="112" t="b">
        <v>1</v>
      </c>
      <c r="K145" s="112" t="b">
        <v>0</v>
      </c>
      <c r="L145" s="112" t="b">
        <v>0</v>
      </c>
    </row>
    <row r="146" spans="1:12" ht="15">
      <c r="A146" s="112" t="s">
        <v>1450</v>
      </c>
      <c r="B146" s="112" t="s">
        <v>1451</v>
      </c>
      <c r="C146" s="112">
        <v>3</v>
      </c>
      <c r="D146" s="115">
        <v>0</v>
      </c>
      <c r="E146" s="115">
        <v>1.1249387366083</v>
      </c>
      <c r="F146" s="112" t="s">
        <v>236</v>
      </c>
      <c r="G146" s="112" t="b">
        <v>0</v>
      </c>
      <c r="H146" s="112" t="b">
        <v>0</v>
      </c>
      <c r="I146" s="112" t="b">
        <v>0</v>
      </c>
      <c r="J146" s="112" t="b">
        <v>0</v>
      </c>
      <c r="K146" s="112" t="b">
        <v>0</v>
      </c>
      <c r="L146" s="112" t="b">
        <v>0</v>
      </c>
    </row>
    <row r="147" spans="1:12" ht="15">
      <c r="A147" s="112" t="s">
        <v>1450</v>
      </c>
      <c r="B147" s="112" t="s">
        <v>1451</v>
      </c>
      <c r="C147" s="112">
        <v>7</v>
      </c>
      <c r="D147" s="115">
        <v>0</v>
      </c>
      <c r="E147" s="115">
        <v>1.3508016123949769</v>
      </c>
      <c r="F147" s="112" t="s">
        <v>237</v>
      </c>
      <c r="G147" s="112" t="b">
        <v>0</v>
      </c>
      <c r="H147" s="112" t="b">
        <v>0</v>
      </c>
      <c r="I147" s="112" t="b">
        <v>0</v>
      </c>
      <c r="J147" s="112" t="b">
        <v>0</v>
      </c>
      <c r="K147" s="112" t="b">
        <v>0</v>
      </c>
      <c r="L147" s="112" t="b">
        <v>0</v>
      </c>
    </row>
    <row r="148" spans="1:12" ht="15">
      <c r="A148" s="112" t="s">
        <v>1547</v>
      </c>
      <c r="B148" s="112" t="s">
        <v>1630</v>
      </c>
      <c r="C148" s="112">
        <v>2</v>
      </c>
      <c r="D148" s="115">
        <v>0.0037865408259620276</v>
      </c>
      <c r="E148" s="115">
        <v>1.8948696567452525</v>
      </c>
      <c r="F148" s="112" t="s">
        <v>238</v>
      </c>
      <c r="G148" s="112" t="b">
        <v>0</v>
      </c>
      <c r="H148" s="112" t="b">
        <v>0</v>
      </c>
      <c r="I148" s="112" t="b">
        <v>0</v>
      </c>
      <c r="J148" s="112" t="b">
        <v>0</v>
      </c>
      <c r="K148" s="112" t="b">
        <v>0</v>
      </c>
      <c r="L148" s="112" t="b">
        <v>0</v>
      </c>
    </row>
    <row r="149" spans="1:12" ht="15">
      <c r="A149" s="112" t="s">
        <v>1630</v>
      </c>
      <c r="B149" s="112" t="s">
        <v>1463</v>
      </c>
      <c r="C149" s="112">
        <v>2</v>
      </c>
      <c r="D149" s="115">
        <v>0.0037865408259620276</v>
      </c>
      <c r="E149" s="115">
        <v>1.4969296480732148</v>
      </c>
      <c r="F149" s="112" t="s">
        <v>238</v>
      </c>
      <c r="G149" s="112" t="b">
        <v>0</v>
      </c>
      <c r="H149" s="112" t="b">
        <v>0</v>
      </c>
      <c r="I149" s="112" t="b">
        <v>0</v>
      </c>
      <c r="J149" s="112" t="b">
        <v>0</v>
      </c>
      <c r="K149" s="112" t="b">
        <v>0</v>
      </c>
      <c r="L149" s="112" t="b">
        <v>0</v>
      </c>
    </row>
    <row r="150" spans="1:12" ht="15">
      <c r="A150" s="112" t="s">
        <v>302</v>
      </c>
      <c r="B150" s="112" t="s">
        <v>1477</v>
      </c>
      <c r="C150" s="112">
        <v>2</v>
      </c>
      <c r="D150" s="115">
        <v>0.0037865408259620276</v>
      </c>
      <c r="E150" s="115">
        <v>1.8948696567452525</v>
      </c>
      <c r="F150" s="112" t="s">
        <v>238</v>
      </c>
      <c r="G150" s="112" t="b">
        <v>0</v>
      </c>
      <c r="H150" s="112" t="b">
        <v>0</v>
      </c>
      <c r="I150" s="112" t="b">
        <v>0</v>
      </c>
      <c r="J150" s="112" t="b">
        <v>1</v>
      </c>
      <c r="K150" s="112" t="b">
        <v>0</v>
      </c>
      <c r="L150" s="112" t="b">
        <v>0</v>
      </c>
    </row>
    <row r="151" spans="1:12" ht="15">
      <c r="A151" s="112" t="s">
        <v>1450</v>
      </c>
      <c r="B151" s="112" t="s">
        <v>1451</v>
      </c>
      <c r="C151" s="112">
        <v>2</v>
      </c>
      <c r="D151" s="115">
        <v>0.0037865408259620276</v>
      </c>
      <c r="E151" s="115">
        <v>1.8948696567452525</v>
      </c>
      <c r="F151" s="112" t="s">
        <v>238</v>
      </c>
      <c r="G151" s="112" t="b">
        <v>0</v>
      </c>
      <c r="H151" s="112" t="b">
        <v>0</v>
      </c>
      <c r="I151" s="112" t="b">
        <v>0</v>
      </c>
      <c r="J151" s="112" t="b">
        <v>0</v>
      </c>
      <c r="K151" s="112" t="b">
        <v>0</v>
      </c>
      <c r="L151" s="112" t="b">
        <v>0</v>
      </c>
    </row>
    <row r="152" spans="1:12" ht="15">
      <c r="A152" s="112" t="s">
        <v>1450</v>
      </c>
      <c r="B152" s="112" t="s">
        <v>1451</v>
      </c>
      <c r="C152" s="112">
        <v>3</v>
      </c>
      <c r="D152" s="115">
        <v>0</v>
      </c>
      <c r="E152" s="115">
        <v>1.5228787452803376</v>
      </c>
      <c r="F152" s="112" t="s">
        <v>239</v>
      </c>
      <c r="G152" s="112" t="b">
        <v>0</v>
      </c>
      <c r="H152" s="112" t="b">
        <v>0</v>
      </c>
      <c r="I152" s="112" t="b">
        <v>0</v>
      </c>
      <c r="J152" s="112" t="b">
        <v>0</v>
      </c>
      <c r="K152" s="112" t="b">
        <v>0</v>
      </c>
      <c r="L152" s="112" t="b">
        <v>0</v>
      </c>
    </row>
    <row r="153" spans="1:12" ht="15">
      <c r="A153" s="112" t="s">
        <v>1710</v>
      </c>
      <c r="B153" s="112" t="s">
        <v>1711</v>
      </c>
      <c r="C153" s="112">
        <v>2</v>
      </c>
      <c r="D153" s="115">
        <v>0.005902548934587867</v>
      </c>
      <c r="E153" s="115">
        <v>1.6989700043360187</v>
      </c>
      <c r="F153" s="112" t="s">
        <v>239</v>
      </c>
      <c r="G153" s="112" t="b">
        <v>0</v>
      </c>
      <c r="H153" s="112" t="b">
        <v>0</v>
      </c>
      <c r="I153" s="112" t="b">
        <v>0</v>
      </c>
      <c r="J153" s="112" t="b">
        <v>0</v>
      </c>
      <c r="K153" s="112" t="b">
        <v>0</v>
      </c>
      <c r="L153" s="112" t="b">
        <v>0</v>
      </c>
    </row>
    <row r="154" spans="1:12" ht="15">
      <c r="A154" s="112" t="s">
        <v>1713</v>
      </c>
      <c r="B154" s="112" t="s">
        <v>1714</v>
      </c>
      <c r="C154" s="112">
        <v>2</v>
      </c>
      <c r="D154" s="115">
        <v>0.005902548934587867</v>
      </c>
      <c r="E154" s="115">
        <v>1.6989700043360187</v>
      </c>
      <c r="F154" s="112" t="s">
        <v>239</v>
      </c>
      <c r="G154" s="112" t="b">
        <v>0</v>
      </c>
      <c r="H154" s="112" t="b">
        <v>0</v>
      </c>
      <c r="I154" s="112" t="b">
        <v>0</v>
      </c>
      <c r="J154" s="112" t="b">
        <v>0</v>
      </c>
      <c r="K154" s="112" t="b">
        <v>0</v>
      </c>
      <c r="L154" s="112" t="b">
        <v>0</v>
      </c>
    </row>
    <row r="155" spans="1:12" ht="15">
      <c r="A155" s="112" t="s">
        <v>1453</v>
      </c>
      <c r="B155" s="112" t="s">
        <v>1450</v>
      </c>
      <c r="C155" s="112">
        <v>2</v>
      </c>
      <c r="D155" s="115">
        <v>0.005902548934587867</v>
      </c>
      <c r="E155" s="115">
        <v>1.1249387366083</v>
      </c>
      <c r="F155" s="112" t="s">
        <v>239</v>
      </c>
      <c r="G155" s="112" t="b">
        <v>1</v>
      </c>
      <c r="H155" s="112" t="b">
        <v>0</v>
      </c>
      <c r="I155" s="112" t="b">
        <v>0</v>
      </c>
      <c r="J155" s="112" t="b">
        <v>0</v>
      </c>
      <c r="K155" s="112" t="b">
        <v>0</v>
      </c>
      <c r="L155" s="112" t="b">
        <v>0</v>
      </c>
    </row>
    <row r="156" spans="1:12" ht="15">
      <c r="A156" s="112" t="s">
        <v>1453</v>
      </c>
      <c r="B156" s="112" t="s">
        <v>1468</v>
      </c>
      <c r="C156" s="112">
        <v>3</v>
      </c>
      <c r="D156" s="115">
        <v>0.012371095712218404</v>
      </c>
      <c r="E156" s="115">
        <v>1.1522883443830565</v>
      </c>
      <c r="F156" s="112" t="s">
        <v>240</v>
      </c>
      <c r="G156" s="112" t="b">
        <v>1</v>
      </c>
      <c r="H156" s="112" t="b">
        <v>0</v>
      </c>
      <c r="I156" s="112" t="b">
        <v>0</v>
      </c>
      <c r="J156" s="112" t="b">
        <v>0</v>
      </c>
      <c r="K156" s="112" t="b">
        <v>0</v>
      </c>
      <c r="L156" s="112" t="b">
        <v>0</v>
      </c>
    </row>
    <row r="157" spans="1:12" ht="15">
      <c r="A157" s="112" t="s">
        <v>1450</v>
      </c>
      <c r="B157" s="112" t="s">
        <v>1451</v>
      </c>
      <c r="C157" s="112">
        <v>2</v>
      </c>
      <c r="D157" s="115">
        <v>0.008247397141478936</v>
      </c>
      <c r="E157" s="115">
        <v>1.550228353055094</v>
      </c>
      <c r="F157" s="112" t="s">
        <v>240</v>
      </c>
      <c r="G157" s="112" t="b">
        <v>0</v>
      </c>
      <c r="H157" s="112" t="b">
        <v>0</v>
      </c>
      <c r="I157" s="112" t="b">
        <v>0</v>
      </c>
      <c r="J157" s="112" t="b">
        <v>0</v>
      </c>
      <c r="K157" s="112" t="b">
        <v>0</v>
      </c>
      <c r="L157" s="112" t="b">
        <v>0</v>
      </c>
    </row>
    <row r="158" spans="1:12" ht="15">
      <c r="A158" s="112" t="s">
        <v>1453</v>
      </c>
      <c r="B158" s="112" t="s">
        <v>1453</v>
      </c>
      <c r="C158" s="112">
        <v>2</v>
      </c>
      <c r="D158" s="115">
        <v>0.008247397141478936</v>
      </c>
      <c r="E158" s="115">
        <v>0.7543483357110189</v>
      </c>
      <c r="F158" s="112" t="s">
        <v>240</v>
      </c>
      <c r="G158" s="112" t="b">
        <v>1</v>
      </c>
      <c r="H158" s="112" t="b">
        <v>0</v>
      </c>
      <c r="I158" s="112" t="b">
        <v>0</v>
      </c>
      <c r="J158" s="112" t="b">
        <v>1</v>
      </c>
      <c r="K158" s="112" t="b">
        <v>0</v>
      </c>
      <c r="L158" s="112" t="b">
        <v>0</v>
      </c>
    </row>
    <row r="159" spans="1:12" ht="15">
      <c r="A159" s="112" t="s">
        <v>1468</v>
      </c>
      <c r="B159" s="112" t="s">
        <v>1571</v>
      </c>
      <c r="C159" s="112">
        <v>2</v>
      </c>
      <c r="D159" s="115">
        <v>0.008247397141478936</v>
      </c>
      <c r="E159" s="115">
        <v>1.3741370939994129</v>
      </c>
      <c r="F159" s="112" t="s">
        <v>240</v>
      </c>
      <c r="G159" s="112" t="b">
        <v>0</v>
      </c>
      <c r="H159" s="112" t="b">
        <v>0</v>
      </c>
      <c r="I159" s="112" t="b">
        <v>0</v>
      </c>
      <c r="J159" s="112" t="b">
        <v>0</v>
      </c>
      <c r="K159" s="112" t="b">
        <v>0</v>
      </c>
      <c r="L159" s="112" t="b">
        <v>0</v>
      </c>
    </row>
    <row r="160" spans="1:12" ht="15">
      <c r="A160" s="112" t="s">
        <v>1571</v>
      </c>
      <c r="B160" s="112" t="s">
        <v>1719</v>
      </c>
      <c r="C160" s="112">
        <v>2</v>
      </c>
      <c r="D160" s="115">
        <v>0.008247397141478936</v>
      </c>
      <c r="E160" s="115">
        <v>1.550228353055094</v>
      </c>
      <c r="F160" s="112" t="s">
        <v>240</v>
      </c>
      <c r="G160" s="112" t="b">
        <v>0</v>
      </c>
      <c r="H160" s="112" t="b">
        <v>0</v>
      </c>
      <c r="I160" s="112" t="b">
        <v>0</v>
      </c>
      <c r="J160" s="112" t="b">
        <v>0</v>
      </c>
      <c r="K160" s="112" t="b">
        <v>0</v>
      </c>
      <c r="L160" s="112" t="b">
        <v>0</v>
      </c>
    </row>
    <row r="161" spans="1:12" ht="15">
      <c r="A161" s="112" t="s">
        <v>1450</v>
      </c>
      <c r="B161" s="112" t="s">
        <v>1459</v>
      </c>
      <c r="C161" s="112">
        <v>2</v>
      </c>
      <c r="D161" s="115">
        <v>0</v>
      </c>
      <c r="E161" s="115">
        <v>1.0969100130080565</v>
      </c>
      <c r="F161" s="112" t="s">
        <v>241</v>
      </c>
      <c r="G161" s="112" t="b">
        <v>0</v>
      </c>
      <c r="H161" s="112" t="b">
        <v>0</v>
      </c>
      <c r="I161" s="112" t="b">
        <v>0</v>
      </c>
      <c r="J161" s="112" t="b">
        <v>0</v>
      </c>
      <c r="K161" s="112" t="b">
        <v>0</v>
      </c>
      <c r="L161" s="112" t="b">
        <v>0</v>
      </c>
    </row>
    <row r="162" spans="1:12" ht="15">
      <c r="A162" s="112" t="s">
        <v>1454</v>
      </c>
      <c r="B162" s="112" t="s">
        <v>1450</v>
      </c>
      <c r="C162" s="112">
        <v>2</v>
      </c>
      <c r="D162" s="115">
        <v>0</v>
      </c>
      <c r="E162" s="115">
        <v>0.7958800173440752</v>
      </c>
      <c r="F162" s="112" t="s">
        <v>241</v>
      </c>
      <c r="G162" s="112" t="b">
        <v>0</v>
      </c>
      <c r="H162" s="112" t="b">
        <v>0</v>
      </c>
      <c r="I162" s="112" t="b">
        <v>0</v>
      </c>
      <c r="J162" s="112" t="b">
        <v>0</v>
      </c>
      <c r="K162" s="112" t="b">
        <v>0</v>
      </c>
      <c r="L162" s="112" t="b">
        <v>0</v>
      </c>
    </row>
    <row r="163" spans="1:12" ht="15">
      <c r="A163" s="112" t="s">
        <v>1450</v>
      </c>
      <c r="B163" s="112" t="s">
        <v>1560</v>
      </c>
      <c r="C163" s="112">
        <v>2</v>
      </c>
      <c r="D163" s="115">
        <v>0</v>
      </c>
      <c r="E163" s="115">
        <v>1.0969100130080565</v>
      </c>
      <c r="F163" s="112" t="s">
        <v>241</v>
      </c>
      <c r="G163" s="112" t="b">
        <v>0</v>
      </c>
      <c r="H163" s="112" t="b">
        <v>0</v>
      </c>
      <c r="I163" s="112" t="b">
        <v>0</v>
      </c>
      <c r="J163" s="112" t="b">
        <v>0</v>
      </c>
      <c r="K163" s="112" t="b">
        <v>0</v>
      </c>
      <c r="L163" s="112" t="b">
        <v>0</v>
      </c>
    </row>
    <row r="164" spans="1:12" ht="15">
      <c r="A164" s="112" t="s">
        <v>1450</v>
      </c>
      <c r="B164" s="112" t="s">
        <v>1561</v>
      </c>
      <c r="C164" s="112">
        <v>2</v>
      </c>
      <c r="D164" s="115">
        <v>0</v>
      </c>
      <c r="E164" s="115">
        <v>1.0969100130080565</v>
      </c>
      <c r="F164" s="112" t="s">
        <v>241</v>
      </c>
      <c r="G164" s="112" t="b">
        <v>0</v>
      </c>
      <c r="H164" s="112" t="b">
        <v>0</v>
      </c>
      <c r="I164" s="112" t="b">
        <v>0</v>
      </c>
      <c r="J164" s="112" t="b">
        <v>0</v>
      </c>
      <c r="K164" s="112" t="b">
        <v>0</v>
      </c>
      <c r="L164" s="112" t="b">
        <v>0</v>
      </c>
    </row>
    <row r="165" spans="1:12" ht="15">
      <c r="A165" s="112" t="s">
        <v>1450</v>
      </c>
      <c r="B165" s="112" t="s">
        <v>1451</v>
      </c>
      <c r="C165" s="112">
        <v>5</v>
      </c>
      <c r="D165" s="115">
        <v>0</v>
      </c>
      <c r="E165" s="115">
        <v>1.1398790864012365</v>
      </c>
      <c r="F165" s="112" t="s">
        <v>244</v>
      </c>
      <c r="G165" s="112" t="b">
        <v>0</v>
      </c>
      <c r="H165" s="112" t="b">
        <v>0</v>
      </c>
      <c r="I165" s="112" t="b">
        <v>0</v>
      </c>
      <c r="J165" s="112" t="b">
        <v>0</v>
      </c>
      <c r="K165" s="112" t="b">
        <v>0</v>
      </c>
      <c r="L165" s="112" t="b">
        <v>0</v>
      </c>
    </row>
    <row r="166" spans="1:12" ht="15">
      <c r="A166" s="112" t="s">
        <v>1505</v>
      </c>
      <c r="B166" s="112" t="s">
        <v>1542</v>
      </c>
      <c r="C166" s="112">
        <v>3</v>
      </c>
      <c r="D166" s="115">
        <v>0</v>
      </c>
      <c r="E166" s="115">
        <v>1.236789099409293</v>
      </c>
      <c r="F166" s="112" t="s">
        <v>244</v>
      </c>
      <c r="G166" s="112" t="b">
        <v>0</v>
      </c>
      <c r="H166" s="112" t="b">
        <v>0</v>
      </c>
      <c r="I166" s="112" t="b">
        <v>0</v>
      </c>
      <c r="J166" s="112" t="b">
        <v>0</v>
      </c>
      <c r="K166" s="112" t="b">
        <v>0</v>
      </c>
      <c r="L166" s="112" t="b">
        <v>0</v>
      </c>
    </row>
    <row r="167" spans="1:12" ht="15">
      <c r="A167" s="112" t="s">
        <v>1542</v>
      </c>
      <c r="B167" s="112" t="s">
        <v>296</v>
      </c>
      <c r="C167" s="112">
        <v>2</v>
      </c>
      <c r="D167" s="115">
        <v>0</v>
      </c>
      <c r="E167" s="115">
        <v>1.3617278360175928</v>
      </c>
      <c r="F167" s="112" t="s">
        <v>244</v>
      </c>
      <c r="G167" s="112" t="b">
        <v>0</v>
      </c>
      <c r="H167" s="112" t="b">
        <v>0</v>
      </c>
      <c r="I167" s="112" t="b">
        <v>0</v>
      </c>
      <c r="J167" s="112" t="b">
        <v>0</v>
      </c>
      <c r="K167" s="112" t="b">
        <v>0</v>
      </c>
      <c r="L167" s="112" t="b">
        <v>0</v>
      </c>
    </row>
    <row r="168" spans="1:12" ht="15">
      <c r="A168" s="112" t="s">
        <v>1454</v>
      </c>
      <c r="B168" s="112" t="s">
        <v>1450</v>
      </c>
      <c r="C168" s="112">
        <v>3</v>
      </c>
      <c r="D168" s="115">
        <v>0</v>
      </c>
      <c r="E168" s="115">
        <v>0.8129133566428556</v>
      </c>
      <c r="F168" s="112" t="s">
        <v>246</v>
      </c>
      <c r="G168" s="112" t="b">
        <v>0</v>
      </c>
      <c r="H168" s="112" t="b">
        <v>0</v>
      </c>
      <c r="I168" s="112" t="b">
        <v>0</v>
      </c>
      <c r="J168" s="112" t="b">
        <v>0</v>
      </c>
      <c r="K168" s="112" t="b">
        <v>0</v>
      </c>
      <c r="L168" s="112" t="b">
        <v>0</v>
      </c>
    </row>
    <row r="169" spans="1:12" ht="15">
      <c r="A169" s="112" t="s">
        <v>1450</v>
      </c>
      <c r="B169" s="112" t="s">
        <v>1459</v>
      </c>
      <c r="C169" s="112">
        <v>3</v>
      </c>
      <c r="D169" s="115">
        <v>0</v>
      </c>
      <c r="E169" s="115">
        <v>0.9378520932511555</v>
      </c>
      <c r="F169" s="112" t="s">
        <v>246</v>
      </c>
      <c r="G169" s="112" t="b">
        <v>0</v>
      </c>
      <c r="H169" s="112" t="b">
        <v>0</v>
      </c>
      <c r="I169" s="112" t="b">
        <v>0</v>
      </c>
      <c r="J169" s="112" t="b">
        <v>0</v>
      </c>
      <c r="K169" s="112" t="b">
        <v>0</v>
      </c>
      <c r="L169" s="112" t="b">
        <v>0</v>
      </c>
    </row>
    <row r="170" spans="1:12" ht="15">
      <c r="A170" s="112" t="s">
        <v>307</v>
      </c>
      <c r="B170" s="112" t="s">
        <v>1480</v>
      </c>
      <c r="C170" s="112">
        <v>3</v>
      </c>
      <c r="D170" s="115">
        <v>0.012371095712218404</v>
      </c>
      <c r="E170" s="115">
        <v>1.3741370939994129</v>
      </c>
      <c r="F170" s="112" t="s">
        <v>247</v>
      </c>
      <c r="G170" s="112" t="b">
        <v>0</v>
      </c>
      <c r="H170" s="112" t="b">
        <v>0</v>
      </c>
      <c r="I170" s="112" t="b">
        <v>0</v>
      </c>
      <c r="J170" s="112" t="b">
        <v>0</v>
      </c>
      <c r="K170" s="112" t="b">
        <v>0</v>
      </c>
      <c r="L170" s="112" t="b">
        <v>0</v>
      </c>
    </row>
    <row r="171" spans="1:12" ht="15">
      <c r="A171" s="112" t="s">
        <v>1674</v>
      </c>
      <c r="B171" s="112" t="s">
        <v>1490</v>
      </c>
      <c r="C171" s="112">
        <v>2</v>
      </c>
      <c r="D171" s="115">
        <v>0.008247397141478936</v>
      </c>
      <c r="E171" s="115">
        <v>1.249198357391113</v>
      </c>
      <c r="F171" s="112" t="s">
        <v>247</v>
      </c>
      <c r="G171" s="112" t="b">
        <v>0</v>
      </c>
      <c r="H171" s="112" t="b">
        <v>0</v>
      </c>
      <c r="I171" s="112" t="b">
        <v>0</v>
      </c>
      <c r="J171" s="112" t="b">
        <v>0</v>
      </c>
      <c r="K171" s="112" t="b">
        <v>0</v>
      </c>
      <c r="L171" s="112" t="b">
        <v>0</v>
      </c>
    </row>
    <row r="172" spans="1:12" ht="15">
      <c r="A172" s="112" t="s">
        <v>1490</v>
      </c>
      <c r="B172" s="112" t="s">
        <v>294</v>
      </c>
      <c r="C172" s="112">
        <v>2</v>
      </c>
      <c r="D172" s="115">
        <v>0.008247397141478936</v>
      </c>
      <c r="E172" s="115">
        <v>1.249198357391113</v>
      </c>
      <c r="F172" s="112" t="s">
        <v>247</v>
      </c>
      <c r="G172" s="112" t="b">
        <v>0</v>
      </c>
      <c r="H172" s="112" t="b">
        <v>0</v>
      </c>
      <c r="I172" s="112" t="b">
        <v>0</v>
      </c>
      <c r="J172" s="112" t="b">
        <v>0</v>
      </c>
      <c r="K172" s="112" t="b">
        <v>0</v>
      </c>
      <c r="L172" s="112" t="b">
        <v>0</v>
      </c>
    </row>
    <row r="173" spans="1:12" ht="15">
      <c r="A173" s="112" t="s">
        <v>1450</v>
      </c>
      <c r="B173" s="112" t="s">
        <v>1451</v>
      </c>
      <c r="C173" s="112">
        <v>2</v>
      </c>
      <c r="D173" s="115">
        <v>0</v>
      </c>
      <c r="E173" s="115">
        <v>1.301029995663981</v>
      </c>
      <c r="F173" s="112" t="s">
        <v>249</v>
      </c>
      <c r="G173" s="112" t="b">
        <v>0</v>
      </c>
      <c r="H173" s="112" t="b">
        <v>0</v>
      </c>
      <c r="I173" s="112" t="b">
        <v>0</v>
      </c>
      <c r="J173" s="112" t="b">
        <v>0</v>
      </c>
      <c r="K173" s="112" t="b">
        <v>0</v>
      </c>
      <c r="L173" s="112" t="b">
        <v>0</v>
      </c>
    </row>
    <row r="174" spans="1:12" ht="15">
      <c r="A174" s="112" t="s">
        <v>1491</v>
      </c>
      <c r="B174" s="112" t="s">
        <v>298</v>
      </c>
      <c r="C174" s="112">
        <v>4</v>
      </c>
      <c r="D174" s="115">
        <v>0</v>
      </c>
      <c r="E174" s="115">
        <v>1.0791812460476249</v>
      </c>
      <c r="F174" s="112" t="s">
        <v>251</v>
      </c>
      <c r="G174" s="112" t="b">
        <v>0</v>
      </c>
      <c r="H174" s="112" t="b">
        <v>0</v>
      </c>
      <c r="I174" s="112" t="b">
        <v>0</v>
      </c>
      <c r="J174" s="112" t="b">
        <v>0</v>
      </c>
      <c r="K174" s="112" t="b">
        <v>0</v>
      </c>
      <c r="L174" s="112" t="b">
        <v>0</v>
      </c>
    </row>
    <row r="175" spans="1:12" ht="15">
      <c r="A175" s="112" t="s">
        <v>1511</v>
      </c>
      <c r="B175" s="112" t="s">
        <v>1533</v>
      </c>
      <c r="C175" s="112">
        <v>2</v>
      </c>
      <c r="D175" s="115">
        <v>0</v>
      </c>
      <c r="E175" s="115">
        <v>1.380211241711606</v>
      </c>
      <c r="F175" s="112" t="s">
        <v>251</v>
      </c>
      <c r="G175" s="112" t="b">
        <v>0</v>
      </c>
      <c r="H175" s="112" t="b">
        <v>0</v>
      </c>
      <c r="I175" s="112" t="b">
        <v>0</v>
      </c>
      <c r="J175" s="112" t="b">
        <v>0</v>
      </c>
      <c r="K175" s="112" t="b">
        <v>0</v>
      </c>
      <c r="L175" s="112" t="b">
        <v>0</v>
      </c>
    </row>
    <row r="176" spans="1:12" ht="15">
      <c r="A176" s="112" t="s">
        <v>1533</v>
      </c>
      <c r="B176" s="112" t="s">
        <v>293</v>
      </c>
      <c r="C176" s="112">
        <v>2</v>
      </c>
      <c r="D176" s="115">
        <v>0</v>
      </c>
      <c r="E176" s="115">
        <v>1.0791812460476249</v>
      </c>
      <c r="F176" s="112" t="s">
        <v>251</v>
      </c>
      <c r="G176" s="112" t="b">
        <v>0</v>
      </c>
      <c r="H176" s="112" t="b">
        <v>0</v>
      </c>
      <c r="I176" s="112" t="b">
        <v>0</v>
      </c>
      <c r="J176" s="112" t="b">
        <v>0</v>
      </c>
      <c r="K176" s="112" t="b">
        <v>0</v>
      </c>
      <c r="L176" s="112" t="b">
        <v>0</v>
      </c>
    </row>
    <row r="177" spans="1:12" ht="15">
      <c r="A177" s="112" t="s">
        <v>293</v>
      </c>
      <c r="B177" s="112" t="s">
        <v>1508</v>
      </c>
      <c r="C177" s="112">
        <v>2</v>
      </c>
      <c r="D177" s="115">
        <v>0</v>
      </c>
      <c r="E177" s="115">
        <v>1.0791812460476249</v>
      </c>
      <c r="F177" s="112" t="s">
        <v>251</v>
      </c>
      <c r="G177" s="112" t="b">
        <v>0</v>
      </c>
      <c r="H177" s="112" t="b">
        <v>0</v>
      </c>
      <c r="I177" s="112" t="b">
        <v>0</v>
      </c>
      <c r="J177" s="112" t="b">
        <v>0</v>
      </c>
      <c r="K177" s="112" t="b">
        <v>0</v>
      </c>
      <c r="L177" s="112" t="b">
        <v>0</v>
      </c>
    </row>
    <row r="178" spans="1:12" ht="15">
      <c r="A178" s="112" t="s">
        <v>1508</v>
      </c>
      <c r="B178" s="112" t="s">
        <v>1453</v>
      </c>
      <c r="C178" s="112">
        <v>2</v>
      </c>
      <c r="D178" s="115">
        <v>0</v>
      </c>
      <c r="E178" s="115">
        <v>0.9030899869919435</v>
      </c>
      <c r="F178" s="112" t="s">
        <v>251</v>
      </c>
      <c r="G178" s="112" t="b">
        <v>0</v>
      </c>
      <c r="H178" s="112" t="b">
        <v>0</v>
      </c>
      <c r="I178" s="112" t="b">
        <v>0</v>
      </c>
      <c r="J178" s="112" t="b">
        <v>1</v>
      </c>
      <c r="K178" s="112" t="b">
        <v>0</v>
      </c>
      <c r="L178" s="112" t="b">
        <v>0</v>
      </c>
    </row>
    <row r="179" spans="1:12" ht="15">
      <c r="A179" s="112" t="s">
        <v>1453</v>
      </c>
      <c r="B179" s="112" t="s">
        <v>1509</v>
      </c>
      <c r="C179" s="112">
        <v>2</v>
      </c>
      <c r="D179" s="115">
        <v>0</v>
      </c>
      <c r="E179" s="115">
        <v>0.9030899869919435</v>
      </c>
      <c r="F179" s="112" t="s">
        <v>251</v>
      </c>
      <c r="G179" s="112" t="b">
        <v>1</v>
      </c>
      <c r="H179" s="112" t="b">
        <v>0</v>
      </c>
      <c r="I179" s="112" t="b">
        <v>0</v>
      </c>
      <c r="J179" s="112" t="b">
        <v>0</v>
      </c>
      <c r="K179" s="112" t="b">
        <v>0</v>
      </c>
      <c r="L179" s="112" t="b">
        <v>0</v>
      </c>
    </row>
    <row r="180" spans="1:12" ht="15">
      <c r="A180" s="112" t="s">
        <v>1509</v>
      </c>
      <c r="B180" s="112" t="s">
        <v>1453</v>
      </c>
      <c r="C180" s="112">
        <v>2</v>
      </c>
      <c r="D180" s="115">
        <v>0</v>
      </c>
      <c r="E180" s="115">
        <v>0.9030899869919435</v>
      </c>
      <c r="F180" s="112" t="s">
        <v>251</v>
      </c>
      <c r="G180" s="112" t="b">
        <v>0</v>
      </c>
      <c r="H180" s="112" t="b">
        <v>0</v>
      </c>
      <c r="I180" s="112" t="b">
        <v>0</v>
      </c>
      <c r="J180" s="112" t="b">
        <v>1</v>
      </c>
      <c r="K180" s="112" t="b">
        <v>0</v>
      </c>
      <c r="L180" s="112" t="b">
        <v>0</v>
      </c>
    </row>
    <row r="181" spans="1:12" ht="15">
      <c r="A181" s="112" t="s">
        <v>1453</v>
      </c>
      <c r="B181" s="112" t="s">
        <v>1453</v>
      </c>
      <c r="C181" s="112">
        <v>2</v>
      </c>
      <c r="D181" s="115">
        <v>0</v>
      </c>
      <c r="E181" s="115">
        <v>0.4259687322722811</v>
      </c>
      <c r="F181" s="112" t="s">
        <v>251</v>
      </c>
      <c r="G181" s="112" t="b">
        <v>1</v>
      </c>
      <c r="H181" s="112" t="b">
        <v>0</v>
      </c>
      <c r="I181" s="112" t="b">
        <v>0</v>
      </c>
      <c r="J181" s="112" t="b">
        <v>1</v>
      </c>
      <c r="K181" s="112" t="b">
        <v>0</v>
      </c>
      <c r="L181" s="112" t="b">
        <v>0</v>
      </c>
    </row>
    <row r="182" spans="1:12" ht="15">
      <c r="A182" s="112" t="s">
        <v>1453</v>
      </c>
      <c r="B182" s="112" t="s">
        <v>1468</v>
      </c>
      <c r="C182" s="112">
        <v>2</v>
      </c>
      <c r="D182" s="115">
        <v>0</v>
      </c>
      <c r="E182" s="115">
        <v>0.9030899869919435</v>
      </c>
      <c r="F182" s="112" t="s">
        <v>251</v>
      </c>
      <c r="G182" s="112" t="b">
        <v>1</v>
      </c>
      <c r="H182" s="112" t="b">
        <v>0</v>
      </c>
      <c r="I182" s="112" t="b">
        <v>0</v>
      </c>
      <c r="J182" s="112" t="b">
        <v>0</v>
      </c>
      <c r="K182" s="112" t="b">
        <v>0</v>
      </c>
      <c r="L182" s="112" t="b">
        <v>0</v>
      </c>
    </row>
    <row r="183" spans="1:12" ht="15">
      <c r="A183" s="112" t="s">
        <v>1468</v>
      </c>
      <c r="B183" s="112" t="s">
        <v>1470</v>
      </c>
      <c r="C183" s="112">
        <v>2</v>
      </c>
      <c r="D183" s="115">
        <v>0</v>
      </c>
      <c r="E183" s="115">
        <v>1.380211241711606</v>
      </c>
      <c r="F183" s="112" t="s">
        <v>251</v>
      </c>
      <c r="G183" s="112" t="b">
        <v>0</v>
      </c>
      <c r="H183" s="112" t="b">
        <v>0</v>
      </c>
      <c r="I183" s="112" t="b">
        <v>0</v>
      </c>
      <c r="J183" s="112" t="b">
        <v>0</v>
      </c>
      <c r="K183" s="112" t="b">
        <v>0</v>
      </c>
      <c r="L183" s="112" t="b">
        <v>0</v>
      </c>
    </row>
    <row r="184" spans="1:12" ht="15">
      <c r="A184" s="112" t="s">
        <v>1470</v>
      </c>
      <c r="B184" s="112" t="s">
        <v>1685</v>
      </c>
      <c r="C184" s="112">
        <v>2</v>
      </c>
      <c r="D184" s="115">
        <v>0</v>
      </c>
      <c r="E184" s="115">
        <v>1.380211241711606</v>
      </c>
      <c r="F184" s="112" t="s">
        <v>251</v>
      </c>
      <c r="G184" s="112" t="b">
        <v>0</v>
      </c>
      <c r="H184" s="112" t="b">
        <v>0</v>
      </c>
      <c r="I184" s="112" t="b">
        <v>0</v>
      </c>
      <c r="J184" s="112" t="b">
        <v>0</v>
      </c>
      <c r="K184" s="112" t="b">
        <v>0</v>
      </c>
      <c r="L184" s="112" t="b">
        <v>0</v>
      </c>
    </row>
    <row r="185" spans="1:12" ht="15">
      <c r="A185" s="112" t="s">
        <v>1685</v>
      </c>
      <c r="B185" s="112" t="s">
        <v>1686</v>
      </c>
      <c r="C185" s="112">
        <v>2</v>
      </c>
      <c r="D185" s="115">
        <v>0</v>
      </c>
      <c r="E185" s="115">
        <v>1.380211241711606</v>
      </c>
      <c r="F185" s="112" t="s">
        <v>251</v>
      </c>
      <c r="G185" s="112" t="b">
        <v>0</v>
      </c>
      <c r="H185" s="112" t="b">
        <v>0</v>
      </c>
      <c r="I185" s="112" t="b">
        <v>0</v>
      </c>
      <c r="J185" s="112" t="b">
        <v>0</v>
      </c>
      <c r="K185" s="112" t="b">
        <v>0</v>
      </c>
      <c r="L185" s="112" t="b">
        <v>0</v>
      </c>
    </row>
    <row r="186" spans="1:12" ht="15">
      <c r="A186" s="112" t="s">
        <v>1686</v>
      </c>
      <c r="B186" s="112" t="s">
        <v>1687</v>
      </c>
      <c r="C186" s="112">
        <v>2</v>
      </c>
      <c r="D186" s="115">
        <v>0</v>
      </c>
      <c r="E186" s="115">
        <v>1.380211241711606</v>
      </c>
      <c r="F186" s="112" t="s">
        <v>251</v>
      </c>
      <c r="G186" s="112" t="b">
        <v>0</v>
      </c>
      <c r="H186" s="112" t="b">
        <v>0</v>
      </c>
      <c r="I186" s="112" t="b">
        <v>0</v>
      </c>
      <c r="J186" s="112" t="b">
        <v>0</v>
      </c>
      <c r="K186" s="112" t="b">
        <v>0</v>
      </c>
      <c r="L186" s="112" t="b">
        <v>0</v>
      </c>
    </row>
    <row r="187" spans="1:12" ht="15">
      <c r="A187" s="112" t="s">
        <v>1687</v>
      </c>
      <c r="B187" s="112" t="s">
        <v>1491</v>
      </c>
      <c r="C187" s="112">
        <v>2</v>
      </c>
      <c r="D187" s="115">
        <v>0</v>
      </c>
      <c r="E187" s="115">
        <v>1.0791812460476249</v>
      </c>
      <c r="F187" s="112" t="s">
        <v>251</v>
      </c>
      <c r="G187" s="112" t="b">
        <v>0</v>
      </c>
      <c r="H187" s="112" t="b">
        <v>0</v>
      </c>
      <c r="I187" s="112" t="b">
        <v>0</v>
      </c>
      <c r="J187" s="112" t="b">
        <v>0</v>
      </c>
      <c r="K187" s="112" t="b">
        <v>0</v>
      </c>
      <c r="L187" s="112" t="b">
        <v>0</v>
      </c>
    </row>
    <row r="188" spans="1:12" ht="15">
      <c r="A188" s="112" t="s">
        <v>298</v>
      </c>
      <c r="B188" s="112" t="s">
        <v>312</v>
      </c>
      <c r="C188" s="112">
        <v>2</v>
      </c>
      <c r="D188" s="115">
        <v>0</v>
      </c>
      <c r="E188" s="115">
        <v>1.0791812460476249</v>
      </c>
      <c r="F188" s="112" t="s">
        <v>251</v>
      </c>
      <c r="G188" s="112" t="b">
        <v>0</v>
      </c>
      <c r="H188" s="112" t="b">
        <v>0</v>
      </c>
      <c r="I188" s="112" t="b">
        <v>0</v>
      </c>
      <c r="J188" s="112" t="b">
        <v>0</v>
      </c>
      <c r="K188" s="112" t="b">
        <v>0</v>
      </c>
      <c r="L188" s="112" t="b">
        <v>0</v>
      </c>
    </row>
    <row r="189" spans="1:12" ht="15">
      <c r="A189" s="112" t="s">
        <v>312</v>
      </c>
      <c r="B189" s="112" t="s">
        <v>306</v>
      </c>
      <c r="C189" s="112">
        <v>2</v>
      </c>
      <c r="D189" s="115">
        <v>0</v>
      </c>
      <c r="E189" s="115">
        <v>1.380211241711606</v>
      </c>
      <c r="F189" s="112" t="s">
        <v>251</v>
      </c>
      <c r="G189" s="112" t="b">
        <v>0</v>
      </c>
      <c r="H189" s="112" t="b">
        <v>0</v>
      </c>
      <c r="I189" s="112" t="b">
        <v>0</v>
      </c>
      <c r="J189" s="112" t="b">
        <v>0</v>
      </c>
      <c r="K189" s="112" t="b">
        <v>0</v>
      </c>
      <c r="L189" s="112" t="b">
        <v>0</v>
      </c>
    </row>
    <row r="190" spans="1:12" ht="15">
      <c r="A190" s="112" t="s">
        <v>306</v>
      </c>
      <c r="B190" s="112" t="s">
        <v>293</v>
      </c>
      <c r="C190" s="112">
        <v>2</v>
      </c>
      <c r="D190" s="115">
        <v>0</v>
      </c>
      <c r="E190" s="115">
        <v>1.0791812460476249</v>
      </c>
      <c r="F190" s="112" t="s">
        <v>251</v>
      </c>
      <c r="G190" s="112" t="b">
        <v>0</v>
      </c>
      <c r="H190" s="112" t="b">
        <v>0</v>
      </c>
      <c r="I190" s="112" t="b">
        <v>0</v>
      </c>
      <c r="J190" s="112" t="b">
        <v>0</v>
      </c>
      <c r="K190" s="112" t="b">
        <v>0</v>
      </c>
      <c r="L190" s="112" t="b">
        <v>0</v>
      </c>
    </row>
    <row r="191" spans="1:12" ht="15">
      <c r="A191" s="112" t="s">
        <v>293</v>
      </c>
      <c r="B191" s="112" t="s">
        <v>322</v>
      </c>
      <c r="C191" s="112">
        <v>2</v>
      </c>
      <c r="D191" s="115">
        <v>0</v>
      </c>
      <c r="E191" s="115">
        <v>1.0791812460476249</v>
      </c>
      <c r="F191" s="112" t="s">
        <v>251</v>
      </c>
      <c r="G191" s="112" t="b">
        <v>0</v>
      </c>
      <c r="H191" s="112" t="b">
        <v>0</v>
      </c>
      <c r="I191" s="112" t="b">
        <v>0</v>
      </c>
      <c r="J191" s="112" t="b">
        <v>1</v>
      </c>
      <c r="K191" s="112" t="b">
        <v>0</v>
      </c>
      <c r="L191" s="112" t="b">
        <v>0</v>
      </c>
    </row>
    <row r="192" spans="1:12" ht="15">
      <c r="A192" s="112" t="s">
        <v>322</v>
      </c>
      <c r="B192" s="112" t="s">
        <v>1516</v>
      </c>
      <c r="C192" s="112">
        <v>2</v>
      </c>
      <c r="D192" s="115">
        <v>0</v>
      </c>
      <c r="E192" s="115">
        <v>1.380211241711606</v>
      </c>
      <c r="F192" s="112" t="s">
        <v>251</v>
      </c>
      <c r="G192" s="112" t="b">
        <v>1</v>
      </c>
      <c r="H192" s="112" t="b">
        <v>0</v>
      </c>
      <c r="I192" s="112" t="b">
        <v>0</v>
      </c>
      <c r="J192" s="112" t="b">
        <v>0</v>
      </c>
      <c r="K192" s="112" t="b">
        <v>0</v>
      </c>
      <c r="L192" s="112" t="b">
        <v>0</v>
      </c>
    </row>
    <row r="193" spans="1:12" ht="15">
      <c r="A193" s="112" t="s">
        <v>1516</v>
      </c>
      <c r="B193" s="112" t="s">
        <v>1491</v>
      </c>
      <c r="C193" s="112">
        <v>2</v>
      </c>
      <c r="D193" s="115">
        <v>0</v>
      </c>
      <c r="E193" s="115">
        <v>1.0791812460476249</v>
      </c>
      <c r="F193" s="112" t="s">
        <v>251</v>
      </c>
      <c r="G193" s="112" t="b">
        <v>0</v>
      </c>
      <c r="H193" s="112" t="b">
        <v>0</v>
      </c>
      <c r="I193" s="112" t="b">
        <v>0</v>
      </c>
      <c r="J193" s="112" t="b">
        <v>0</v>
      </c>
      <c r="K193" s="112" t="b">
        <v>0</v>
      </c>
      <c r="L193" s="112" t="b">
        <v>0</v>
      </c>
    </row>
    <row r="194" spans="1:12" ht="15">
      <c r="A194" s="112" t="s">
        <v>298</v>
      </c>
      <c r="B194" s="112" t="s">
        <v>287</v>
      </c>
      <c r="C194" s="112">
        <v>2</v>
      </c>
      <c r="D194" s="115">
        <v>0</v>
      </c>
      <c r="E194" s="115">
        <v>1.0791812460476249</v>
      </c>
      <c r="F194" s="112" t="s">
        <v>251</v>
      </c>
      <c r="G194" s="112" t="b">
        <v>0</v>
      </c>
      <c r="H194" s="112" t="b">
        <v>0</v>
      </c>
      <c r="I194" s="112" t="b">
        <v>0</v>
      </c>
      <c r="J194" s="112" t="b">
        <v>0</v>
      </c>
      <c r="K194" s="112" t="b">
        <v>0</v>
      </c>
      <c r="L194" s="112" t="b">
        <v>0</v>
      </c>
    </row>
    <row r="195" spans="1:12" ht="15">
      <c r="A195" s="112" t="s">
        <v>287</v>
      </c>
      <c r="B195" s="112" t="s">
        <v>316</v>
      </c>
      <c r="C195" s="112">
        <v>2</v>
      </c>
      <c r="D195" s="115">
        <v>0</v>
      </c>
      <c r="E195" s="115">
        <v>1.380211241711606</v>
      </c>
      <c r="F195" s="112" t="s">
        <v>251</v>
      </c>
      <c r="G195" s="112" t="b">
        <v>0</v>
      </c>
      <c r="H195" s="112" t="b">
        <v>0</v>
      </c>
      <c r="I195" s="112" t="b">
        <v>0</v>
      </c>
      <c r="J195" s="112" t="b">
        <v>0</v>
      </c>
      <c r="K195" s="112" t="b">
        <v>0</v>
      </c>
      <c r="L195" s="112" t="b">
        <v>0</v>
      </c>
    </row>
    <row r="196" spans="1:12" ht="15">
      <c r="A196" s="112" t="s">
        <v>316</v>
      </c>
      <c r="B196" s="112" t="s">
        <v>1464</v>
      </c>
      <c r="C196" s="112">
        <v>2</v>
      </c>
      <c r="D196" s="115">
        <v>0</v>
      </c>
      <c r="E196" s="115">
        <v>1.380211241711606</v>
      </c>
      <c r="F196" s="112" t="s">
        <v>251</v>
      </c>
      <c r="G196" s="112" t="b">
        <v>0</v>
      </c>
      <c r="H196" s="112" t="b">
        <v>0</v>
      </c>
      <c r="I196" s="112" t="b">
        <v>0</v>
      </c>
      <c r="J196" s="112" t="b">
        <v>0</v>
      </c>
      <c r="K196" s="112" t="b">
        <v>0</v>
      </c>
      <c r="L196" s="112" t="b">
        <v>0</v>
      </c>
    </row>
    <row r="197" spans="1:12" ht="15">
      <c r="A197" s="112" t="s">
        <v>1666</v>
      </c>
      <c r="B197" s="112" t="s">
        <v>1485</v>
      </c>
      <c r="C197" s="112">
        <v>2</v>
      </c>
      <c r="D197" s="115">
        <v>0</v>
      </c>
      <c r="E197" s="115">
        <v>1.135662602000073</v>
      </c>
      <c r="F197" s="112" t="s">
        <v>252</v>
      </c>
      <c r="G197" s="112" t="b">
        <v>0</v>
      </c>
      <c r="H197" s="112" t="b">
        <v>0</v>
      </c>
      <c r="I197" s="112" t="b">
        <v>0</v>
      </c>
      <c r="J197" s="112" t="b">
        <v>0</v>
      </c>
      <c r="K197" s="112" t="b">
        <v>0</v>
      </c>
      <c r="L197" s="112" t="b">
        <v>0</v>
      </c>
    </row>
    <row r="198" spans="1:12" ht="15">
      <c r="A198" s="112" t="s">
        <v>1450</v>
      </c>
      <c r="B198" s="112" t="s">
        <v>1451</v>
      </c>
      <c r="C198" s="112">
        <v>2</v>
      </c>
      <c r="D198" s="115">
        <v>0</v>
      </c>
      <c r="E198" s="115">
        <v>0.9542425094393249</v>
      </c>
      <c r="F198" s="112" t="s">
        <v>256</v>
      </c>
      <c r="G198" s="112" t="b">
        <v>0</v>
      </c>
      <c r="H198" s="112" t="b">
        <v>0</v>
      </c>
      <c r="I198" s="112" t="b">
        <v>0</v>
      </c>
      <c r="J198" s="112" t="b">
        <v>0</v>
      </c>
      <c r="K198" s="112" t="b">
        <v>0</v>
      </c>
      <c r="L198" s="11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3A4524C-B552-45D3-80B8-F324E47C97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2020-06-21T15:43:37Z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