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<sst xmlns="http://schemas.openxmlformats.org/spreadsheetml/2006/main" count="662" uniqueCount="348">
  <si>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</si>
  <si>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</si>
  <si>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</si>
  <si>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</si>
  <si>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</si>
  <si>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</si>
  <si>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</si>
  <si>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</si>
  <si>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</si>
  <si>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</si>
  <si>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</si>
  <si>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</si>
  <si>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</si>
  <si>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</si>
  <si>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</si>
  <si>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</si>
  <si>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</si>
  <si>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</si>
  <si>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</si>
  <si>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</si>
  <si>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</si>
  <si>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</si>
  <si>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</si>
  <si>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</si>
  <si>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</si>
  <si>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</si>
  <si>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</si>
  <si>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</si>
  <si>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</si>
  <si>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</si>
  <si>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</si>
  <si>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</si>
  <si>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</si>
  <si>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</si>
  <si>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</si>
  <si>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</si>
  <si>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</si>
  <si>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</si>
  <si>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</si>
  <si>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</si>
  <si>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</si>
  <si>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</si>
  <si>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</si>
  <si>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</si>
  <si>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</si>
  <si>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</si>
  <si>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</si>
  <si>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</si>
  <si>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</si>
  <si>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</si>
  <si>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</si>
  <si>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</si>
  <si>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</si>
  <si>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</si>
  <si>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</si>
  <si>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</si>
  <si>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</si>
  <si>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</si>
  <si>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</si>
  <si>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</si>
  <si>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</si>
  <si>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</si>
  <si>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</si>
  <si>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</si>
  <si>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</si>
  <si>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</si>
  <si>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</si>
  <si>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</si>
  <si>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</si>
  <si>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</si>
  <si>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</si>
  <si>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</si>
  <si>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</si>
  <si>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</si>
  <si>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</si>
  <si>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</si>
  <si>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</si>
  <si>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</si>
  <si>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</si>
  <si>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</si>
  <si>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</si>
  <si>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</si>
  <si>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</si>
  <si>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</si>
  <si>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</si>
  <si>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</si>
  <si>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</si>
  <si>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</si>
  <si>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</si>
  <si>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</si>
  <si>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</si>
  <si>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</si>
  <si>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</si>
  <si>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</si>
  <si>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</si>
  <si>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</si>
  <si>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</si>
  <si>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</si>
  <si>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</si>
  <si>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</si>
  <si>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</si>
  <si>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</si>
  <si>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</si>
  <si>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</si>
  <si>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</si>
  <si>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</si>
  <si>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</si>
  <si>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</si>
  <si>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</si>
  <si>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</si>
  <si>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</si>
  <si>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</si>
  <si>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</si>
  <si>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</si>
  <si>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</si>
  <si>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</si>
  <si>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</si>
  <si>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</si>
  <si>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</si>
  <si>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</si>
  <si>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</si>
  <si>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</si>
  <si>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</si>
  <si>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</si>
  <si>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</si>
  <si>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</si>
  <si>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</si>
  <si>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</si>
  <si>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</si>
  <si>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</si>
  <si>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</si>
  <si>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</si>
  <si>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</si>
  <si>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</si>
  <si>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</si>
  <si>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</si>
  <si>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</si>
  <si>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</si>
  <si>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</si>
  <si>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</si>
  <si>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</si>
  <si>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</si>
  <si>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</si>
  <si>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</si>
  <si>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</si>
  <si>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</si>
  <si>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</si>
  <si>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</si>
  <si>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</si>
  <si>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</si>
  <si>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</si>
  <si>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</si>
  <si>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</si>
  <si>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</si>
  <si>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</si>
  <si>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</si>
  <si>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</si>
  <si>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</si>
  <si>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</si>
  <si>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</si>
  <si>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</si>
  <si>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</si>
  <si>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</si>
  <si>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</si>
  <si>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</si>
  <si>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</si>
  <si>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</si>
  <si>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</si>
  <si>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</si>
  <si>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</si>
  <si>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</si>
  <si>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</si>
  <si>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</si>
  <si>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</si>
  <si>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</si>
  <si>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</si>
  <si>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</si>
  <si>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</si>
  <si>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</si>
  <si>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</si>
  <si>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</si>
  <si>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</si>
  <si>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</si>
  <si>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</si>
  <si>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</si>
  <si>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</si>
  <si>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</si>
  <si>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</si>
  <si>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</si>
  <si>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</si>
  <si>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</si>
  <si>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</si>
  <si>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</si>
  <si>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</si>
  <si>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</si>
  <si>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</si>
  <si>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</si>
  <si>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</si>
  <si>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</si>
  <si>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</si>
  <si>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</si>
  <si>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</si>
  <si>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</si>
  <si>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</si>
  <si>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</si>
  <si>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</si>
  <si>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</si>
  <si>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</si>
  <si>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</si>
  <si>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</si>
  <si>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</si>
  <si>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</si>
  <si>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</si>
  <si>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</si>
  <si>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verosanchez_m</t>
  </si>
  <si>
    <t>vickinashoii</t>
  </si>
  <si>
    <t>oiioxford</t>
  </si>
  <si>
    <t>kolinakoltai</t>
  </si>
  <si>
    <t>MentionsInRetweet</t>
  </si>
  <si>
    <t>Mentions</t>
  </si>
  <si>
    <t>RT @VickiNashOII: With great regret we've decided to cancel the 2020 @oiioxford Summer Doctoral Programme. Given the ongoing public health…</t>
  </si>
  <si>
    <t>With great regret we've decided to cancel the 2020 @oiioxford Summer Doctoral Programme. Given the ongoing public h… https://t.co/Hgcthr1uwt</t>
  </si>
  <si>
    <t>https://twitter.com/i/web/status/1240680327548416000</t>
  </si>
  <si>
    <t>twitter.com</t>
  </si>
  <si>
    <t>http://pbs.twimg.com/profile_images/1224317120563089409/tFenbqZe_normal.jpg</t>
  </si>
  <si>
    <t>http://pbs.twimg.com/profile_images/2534760018/dx10cw081qu8u3i5f0pb_normal.jpeg</t>
  </si>
  <si>
    <t>http://pbs.twimg.com/profile_images/1002585194250080260/B514BJzf_normal.jpg</t>
  </si>
  <si>
    <t>http://pbs.twimg.com/profile_images/1154453407144370177/ke6hZ2in_normal.jpg</t>
  </si>
  <si>
    <t>18:26:44</t>
  </si>
  <si>
    <t>16:43:35</t>
  </si>
  <si>
    <t>16:57:27</t>
  </si>
  <si>
    <t>09:11:03</t>
  </si>
  <si>
    <t>https://twitter.com/#!/verosanchez_m/status/1240706286817329153</t>
  </si>
  <si>
    <t>https://twitter.com/#!/vickinashoii/status/1240680327548416000</t>
  </si>
  <si>
    <t>https://twitter.com/#!/oiioxford/status/1240683817687547912</t>
  </si>
  <si>
    <t>https://twitter.com/#!/kolinakoltai/status/1240928830568558592</t>
  </si>
  <si>
    <t>1240706286817329153</t>
  </si>
  <si>
    <t>1240680327548416000</t>
  </si>
  <si>
    <t>1240683817687547912</t>
  </si>
  <si>
    <t>1240928830568558592</t>
  </si>
  <si>
    <t/>
  </si>
  <si>
    <t>en</t>
  </si>
  <si>
    <t>Twitter Web App</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</si>
  <si>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</si>
  <si>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</si>
  <si>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</si>
  <si>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</si>
  <si>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</si>
  <si>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</si>
  <si>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</si>
  <si>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</si>
  <si>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</si>
  <si>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</si>
  <si>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</si>
  <si>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</si>
  <si>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</si>
  <si>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</si>
  <si>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</si>
  <si>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</si>
  <si>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</si>
  <si>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</si>
  <si>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</si>
  <si>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</si>
  <si>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</si>
  <si>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</si>
  <si>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</si>
  <si>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Veronica Sánchez</t>
  </si>
  <si>
    <t>Oxford Internet Institute</t>
  </si>
  <si>
    <t>Vicki Nash</t>
  </si>
  <si>
    <t>Kolina Koltai (PhD 2020_xD83E__xDD1E_)</t>
  </si>
  <si>
    <t>Researching media studies |  Writing a PhD on journalism changes @unihh | @MundusJourn alumni  | @DAADMexico fellow |</t>
  </si>
  <si>
    <t>The Oxford Internet Institute (OII) is a multidisciplinary research and teaching dept at University of Oxford, dedicated to the social science of the Internet.</t>
  </si>
  <si>
    <t>Deputy Director @ Oxford Internet Institute. Political theorist and policy geek, big on human rights, digital freedoms, DVD box sets, tea and cake.</t>
  </si>
  <si>
    <t>PhD candidate at @utischool. Future postdoc at @uwcip. Researching vaccine decision making, misinformation, social networks, human values</t>
  </si>
  <si>
    <t>Hamburg &amp; Mexico</t>
  </si>
  <si>
    <t>Oxford, United Kingdom</t>
  </si>
  <si>
    <t>Oxford, UK</t>
  </si>
  <si>
    <t>Denver, CO</t>
  </si>
  <si>
    <t>http://verosanmedina.wordpress.com</t>
  </si>
  <si>
    <t>http://t.co/ZpwZOUcTG0</t>
  </si>
  <si>
    <t>http://www.oii.ox.ac.uk/people/?id=4</t>
  </si>
  <si>
    <t>https://t.co/i88DZt7LaQ</t>
  </si>
  <si>
    <t>https://pbs.twimg.com/profile_banners/296639078/1565622266</t>
  </si>
  <si>
    <t>https://pbs.twimg.com/profile_banners/49976458/1554998041</t>
  </si>
  <si>
    <t>https://pbs.twimg.com/profile_banners/57140128/1394641537</t>
  </si>
  <si>
    <t>https://pbs.twimg.com/profile_banners/770729895374708736/1582661939</t>
  </si>
  <si>
    <t>http://abs.twimg.com/images/themes/theme1/bg.png</t>
  </si>
  <si>
    <t>Open Twitter Page for This Person</t>
  </si>
  <si>
    <t>https://twitter.com/verosanchez_m</t>
  </si>
  <si>
    <t>https://twitter.com/oiioxford</t>
  </si>
  <si>
    <t>https://twitter.com/vickinashoii</t>
  </si>
  <si>
    <t>https://twitter.com/kolinakoltai</t>
  </si>
  <si>
    <t>verosanchez_m
RT @VickiNashOII: With great regret
we've decided to cancel the 2020
@oiioxford Summer Doctoral Programme.
Given the ongoing public health…</t>
  </si>
  <si>
    <t>oiioxford
RT @VickiNashOII: With great regret
we've decided to cancel the 2020
@oiioxford Summer Doctoral Programme.
Given the ongoing public health…</t>
  </si>
  <si>
    <t>vickinashoii
With great regret we've decided
to cancel the 2020 @oiioxford Summer
Doctoral Programme. Given the ongoing
public h… https://t.co/Hgcthr1uwt</t>
  </si>
  <si>
    <t>kolinakoltai
RT @VickiNashOII: With great regret
we've decided to cancel the 2020
@oiioxford Summer Doctoral Programme.
Given the ongoing public health…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</si>
  <si>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</si>
  <si>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</si>
  <si>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</si>
  <si>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</si>
  <si>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</si>
  <si>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</si>
  <si>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</si>
  <si>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</si>
  <si>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</si>
  <si>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</si>
  <si>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</si>
  <si>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</si>
  <si>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</si>
  <si>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</si>
  <si>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</si>
  <si>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</si>
  <si>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</si>
  <si>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</si>
  <si>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</si>
  <si>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</si>
  <si>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</si>
  <si>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</si>
  <si>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</si>
  <si>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</si>
  <si>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</si>
  <si>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</si>
  <si>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</si>
  <si>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</si>
  <si>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</si>
  <si>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</si>
  <si>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</si>
  <si>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</si>
  <si>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</si>
  <si>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</si>
  <si>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</si>
  <si>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</si>
  <si>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</si>
  <si>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</si>
  <si>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</si>
  <si>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</si>
  <si>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</si>
  <si>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</si>
  <si>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</si>
  <si>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Top URLs in Tweet</t>
  </si>
  <si>
    <t>Count of Tweet Date (UTC)</t>
  </si>
  <si>
    <t>Row Labels</t>
  </si>
  <si>
    <t>Grand Total</t>
  </si>
  <si>
    <t>128, 128, 128</t>
  </si>
  <si>
    <t>Autofill Workbook Results</t>
  </si>
  <si>
    <t>Edge Weight▓1▓1▓0▓True▓Gray▓Red▓▓Edge Weight▓1▓1▓0▓3▓10▓False▓Edge Weight▓1▓1▓0▓35▓12▓False▓▓0▓0▓0▓True▓Black▓Black▓▓▓0▓0▓0▓0▓0▓False▓▓0▓0▓0▓0▓0▓False▓▓0▓0▓0▓0▓0▓False▓▓0▓0▓0▓0▓0▓False</t>
  </si>
  <si>
    <t>GraphSource░GraphServerTwitterSearch▓GraphTerm░oiisdp▓ImportDescription░The graph represents a network of 4 Twitter users whose tweets in the requested range contained "oiisdp", or who were replied to or mentioned in those tweets.  The network was obtained from the NodeXL Graph Server on Wednesday, 01 April 2020 at 11:08 UTC.
The requested start date was Wednesday, 01 April 2020 at 00:01 UTC and the maximum number of days (going backward) was 14.
The maximum number of tweets collected was 5,000.
The tweets in the network were tweeted over the 0-minute period from Thursday, 19 March 2020 at 16:43 UTC to Thursday, 19 March 2020 at 16:43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</si>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</sst>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3" applyNumberFormat="1" applyFon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641884"/>
        <c:axId val="16341501"/>
      </c:barChart>
      <c:catAx>
        <c:axId val="316418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6341501"/>
        <c:crosses val="autoZero"/>
        <c:auto val="1"/>
        <c:lblOffset val="100"/>
        <c:noMultiLvlLbl val="0"/>
      </c:catAx>
      <c:valAx>
        <c:axId val="16341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641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oiisdp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3/19/2020 16:43</c:v>
                </c:pt>
                <c:pt idx="1">
                  <c:v>3/19/2020 16:57</c:v>
                </c:pt>
                <c:pt idx="2">
                  <c:v>3/19/2020 18:26</c:v>
                </c:pt>
                <c:pt idx="3">
                  <c:v>3/20/2020 9:11</c:v>
                </c:pt>
              </c:strCache>
            </c:strRef>
          </c:cat>
          <c:val>
            <c:numRef>
              <c:f>'Time Series'!$B$26:$B$30</c:f>
              <c:numCache>
                <c:formatCode>General</c:formatCode>
                <c:ptCount val="4"/>
                <c:pt idx="0">
                  <c:v>1</c:v>
                </c:pt>
                <c:pt idx="1">
                  <c:v>1</c:v>
                </c:pt>
                <c:pt idx="2">
                  <c:v>2</c:v>
                </c:pt>
                <c:pt idx="3">
                  <c:v>2</c:v>
                </c:pt>
              </c:numCache>
            </c:numRef>
          </c:val>
        </c:ser>
        <c:axId val="37132470"/>
        <c:axId val="65756775"/>
      </c:barChart>
      <c:catAx>
        <c:axId val="37132470"/>
        <c:scaling>
          <c:orientation val="minMax"/>
        </c:scaling>
        <c:axPos val="b"/>
        <c:delete val="0"/>
        <c:numFmt formatCode="General" sourceLinked="1"/>
        <c:majorTickMark val="out"/>
        <c:minorTickMark val="none"/>
        <c:tickLblPos val="nextTo"/>
        <c:crossAx val="65756775"/>
        <c:crosses val="autoZero"/>
        <c:auto val="1"/>
        <c:lblOffset val="100"/>
        <c:noMultiLvlLbl val="0"/>
      </c:catAx>
      <c:valAx>
        <c:axId val="65756775"/>
        <c:scaling>
          <c:orientation val="minMax"/>
        </c:scaling>
        <c:axPos val="l"/>
        <c:majorGridlines/>
        <c:delete val="0"/>
        <c:numFmt formatCode="General" sourceLinked="1"/>
        <c:majorTickMark val="out"/>
        <c:minorTickMark val="none"/>
        <c:tickLblPos val="nextTo"/>
        <c:crossAx val="3713247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855782"/>
        <c:axId val="48593175"/>
      </c:barChart>
      <c:catAx>
        <c:axId val="128557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93175"/>
        <c:crosses val="autoZero"/>
        <c:auto val="1"/>
        <c:lblOffset val="100"/>
        <c:noMultiLvlLbl val="0"/>
      </c:catAx>
      <c:valAx>
        <c:axId val="48593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55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4685392"/>
        <c:axId val="43733073"/>
      </c:barChart>
      <c:catAx>
        <c:axId val="3468539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733073"/>
        <c:crosses val="autoZero"/>
        <c:auto val="1"/>
        <c:lblOffset val="100"/>
        <c:noMultiLvlLbl val="0"/>
      </c:catAx>
      <c:valAx>
        <c:axId val="43733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853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8053338"/>
        <c:axId val="52717995"/>
      </c:barChart>
      <c:catAx>
        <c:axId val="5805333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717995"/>
        <c:crosses val="autoZero"/>
        <c:auto val="1"/>
        <c:lblOffset val="100"/>
        <c:noMultiLvlLbl val="0"/>
      </c:catAx>
      <c:valAx>
        <c:axId val="52717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533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99908"/>
        <c:axId val="42299173"/>
      </c:barChart>
      <c:catAx>
        <c:axId val="469990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299173"/>
        <c:crosses val="autoZero"/>
        <c:auto val="1"/>
        <c:lblOffset val="100"/>
        <c:noMultiLvlLbl val="0"/>
      </c:catAx>
      <c:valAx>
        <c:axId val="422991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9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5148238"/>
        <c:axId val="3680959"/>
      </c:barChart>
      <c:catAx>
        <c:axId val="451482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80959"/>
        <c:crosses val="autoZero"/>
        <c:auto val="1"/>
        <c:lblOffset val="100"/>
        <c:noMultiLvlLbl val="0"/>
      </c:catAx>
      <c:valAx>
        <c:axId val="3680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48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3128632"/>
        <c:axId val="29722233"/>
      </c:barChart>
      <c:catAx>
        <c:axId val="3312863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722233"/>
        <c:crosses val="autoZero"/>
        <c:auto val="1"/>
        <c:lblOffset val="100"/>
        <c:noMultiLvlLbl val="0"/>
      </c:catAx>
      <c:valAx>
        <c:axId val="29722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6173506"/>
        <c:axId val="58690643"/>
      </c:barChart>
      <c:catAx>
        <c:axId val="661735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690643"/>
        <c:crosses val="autoZero"/>
        <c:auto val="1"/>
        <c:lblOffset val="100"/>
        <c:noMultiLvlLbl val="0"/>
      </c:catAx>
      <c:valAx>
        <c:axId val="58690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7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8453740"/>
        <c:axId val="56321613"/>
      </c:barChart>
      <c:catAx>
        <c:axId val="58453740"/>
        <c:scaling>
          <c:orientation val="minMax"/>
        </c:scaling>
        <c:axPos val="b"/>
        <c:delete val="1"/>
        <c:majorTickMark val="out"/>
        <c:minorTickMark val="none"/>
        <c:tickLblPos val="none"/>
        <c:crossAx val="56321613"/>
        <c:crosses val="autoZero"/>
        <c:auto val="1"/>
        <c:lblOffset val="100"/>
        <c:noMultiLvlLbl val="0"/>
      </c:catAx>
      <c:valAx>
        <c:axId val="56321613"/>
        <c:scaling>
          <c:orientation val="minMax"/>
        </c:scaling>
        <c:axPos val="l"/>
        <c:delete val="1"/>
        <c:majorTickMark val="out"/>
        <c:minorTickMark val="none"/>
        <c:tickLblPos val="none"/>
        <c:crossAx val="584537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refreshedVersion="5">
  <cacheSource type="worksheet">
    <worksheetSource ref="A2:BE8" sheet="Time Series Edges"/>
  </cacheSource>
  <cacheFields count="5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0-03-19T18:26:44.000"/>
        <d v="2020-03-19T16:43:35.000"/>
        <d v="2020-03-19T16:57:27.000"/>
        <d v="2020-03-20T09:11: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verosanchez_m"/>
    <s v="oiioxford"/>
    <m/>
    <m/>
    <m/>
    <m/>
    <m/>
    <m/>
    <m/>
    <m/>
    <s v="No"/>
    <n v="3"/>
    <m/>
    <m/>
    <x v="0"/>
    <d v="2020-03-19T18:26:44.000"/>
    <s v="RT @VickiNashOII: With great regret we've decided to cancel the 2020 @oiioxford Summer Doctoral Programme. Given the ongoing public health…"/>
    <m/>
    <m/>
    <x v="0"/>
    <m/>
    <s v="http://pbs.twimg.com/profile_images/1224317120563089409/tFenbqZe_normal.jpg"/>
    <x v="0"/>
    <d v="2020-03-19T00:00:00.000"/>
    <s v="18:26:44"/>
    <s v="https://twitter.com/#!/verosanchez_m/status/1240706286817329153"/>
    <m/>
    <m/>
    <s v="1240706286817329153"/>
    <m/>
    <b v="0"/>
    <n v="0"/>
    <s v=""/>
    <b v="0"/>
    <s v="en"/>
    <m/>
    <s v=""/>
    <b v="0"/>
    <n v="2"/>
    <s v="1240680327548416000"/>
    <s v="Twitter Web App"/>
    <b v="0"/>
    <s v="1240680327548416000"/>
    <s v="Tweet"/>
    <n v="0"/>
    <n v="0"/>
    <m/>
    <m/>
    <m/>
    <m/>
    <m/>
    <m/>
    <m/>
    <m/>
    <n v="1"/>
    <s v="1"/>
    <s v="1"/>
  </r>
  <r>
    <s v="verosanchez_m"/>
    <s v="vickinashoii"/>
    <m/>
    <m/>
    <m/>
    <m/>
    <m/>
    <m/>
    <m/>
    <m/>
    <s v="No"/>
    <n v="4"/>
    <m/>
    <m/>
    <x v="0"/>
    <d v="2020-03-19T18:26:44.000"/>
    <s v="RT @VickiNashOII: With great regret we've decided to cancel the 2020 @oiioxford Summer Doctoral Programme. Given the ongoing public health…"/>
    <m/>
    <m/>
    <x v="0"/>
    <m/>
    <s v="http://pbs.twimg.com/profile_images/1224317120563089409/tFenbqZe_normal.jpg"/>
    <x v="0"/>
    <d v="2020-03-19T00:00:00.000"/>
    <s v="18:26:44"/>
    <s v="https://twitter.com/#!/verosanchez_m/status/1240706286817329153"/>
    <m/>
    <m/>
    <s v="1240706286817329153"/>
    <m/>
    <b v="0"/>
    <n v="0"/>
    <s v=""/>
    <b v="0"/>
    <s v="en"/>
    <m/>
    <s v=""/>
    <b v="0"/>
    <n v="2"/>
    <s v="1240680327548416000"/>
    <s v="Twitter Web App"/>
    <b v="0"/>
    <s v="1240680327548416000"/>
    <s v="Tweet"/>
    <n v="0"/>
    <n v="0"/>
    <m/>
    <m/>
    <m/>
    <m/>
    <m/>
    <m/>
    <m/>
    <m/>
    <n v="1"/>
    <s v="1"/>
    <s v="1"/>
  </r>
  <r>
    <s v="vickinashoii"/>
    <s v="oiioxford"/>
    <m/>
    <m/>
    <m/>
    <m/>
    <m/>
    <m/>
    <m/>
    <m/>
    <s v="Yes"/>
    <n v="5"/>
    <m/>
    <m/>
    <x v="1"/>
    <d v="2020-03-19T16:43:35.000"/>
    <s v="With great regret we've decided to cancel the 2020 @oiioxford Summer Doctoral Programme. Given the ongoing public h… https://t.co/Hgcthr1uwt"/>
    <s v="https://twitter.com/i/web/status/1240680327548416000"/>
    <s v="twitter.com"/>
    <x v="0"/>
    <m/>
    <s v="http://pbs.twimg.com/profile_images/2534760018/dx10cw081qu8u3i5f0pb_normal.jpeg"/>
    <x v="1"/>
    <d v="2020-03-19T00:00:00.000"/>
    <s v="16:43:35"/>
    <s v="https://twitter.com/#!/vickinashoii/status/1240680327548416000"/>
    <m/>
    <m/>
    <s v="1240680327548416000"/>
    <m/>
    <b v="0"/>
    <n v="0"/>
    <s v=""/>
    <b v="0"/>
    <s v="en"/>
    <m/>
    <s v=""/>
    <b v="0"/>
    <n v="0"/>
    <s v=""/>
    <s v="Twitter Web App"/>
    <b v="1"/>
    <s v="1240680327548416000"/>
    <s v="Tweet"/>
    <n v="0"/>
    <n v="0"/>
    <m/>
    <m/>
    <m/>
    <m/>
    <m/>
    <m/>
    <m/>
    <m/>
    <n v="1"/>
    <s v="1"/>
    <s v="1"/>
  </r>
  <r>
    <s v="oiioxford"/>
    <s v="vickinashoii"/>
    <m/>
    <m/>
    <m/>
    <m/>
    <m/>
    <m/>
    <m/>
    <m/>
    <s v="Yes"/>
    <n v="6"/>
    <m/>
    <m/>
    <x v="0"/>
    <d v="2020-03-19T16:57:27.000"/>
    <s v="RT @VickiNashOII: With great regret we've decided to cancel the 2020 @oiioxford Summer Doctoral Programme. Given the ongoing public health…"/>
    <m/>
    <m/>
    <x v="0"/>
    <m/>
    <s v="http://pbs.twimg.com/profile_images/1002585194250080260/B514BJzf_normal.jpg"/>
    <x v="2"/>
    <d v="2020-03-19T00:00:00.000"/>
    <s v="16:57:27"/>
    <s v="https://twitter.com/#!/oiioxford/status/1240683817687547912"/>
    <m/>
    <m/>
    <s v="1240683817687547912"/>
    <m/>
    <b v="0"/>
    <n v="0"/>
    <s v=""/>
    <b v="0"/>
    <s v="en"/>
    <m/>
    <s v=""/>
    <b v="0"/>
    <n v="2"/>
    <s v="1240680327548416000"/>
    <s v="Twitter for iPhone"/>
    <b v="0"/>
    <s v="1240680327548416000"/>
    <s v="Tweet"/>
    <n v="0"/>
    <n v="0"/>
    <m/>
    <m/>
    <m/>
    <m/>
    <m/>
    <m/>
    <m/>
    <m/>
    <n v="1"/>
    <s v="1"/>
    <s v="1"/>
  </r>
  <r>
    <s v="kolinakoltai"/>
    <s v="oiioxford"/>
    <m/>
    <m/>
    <m/>
    <m/>
    <m/>
    <m/>
    <m/>
    <m/>
    <s v="No"/>
    <n v="7"/>
    <m/>
    <m/>
    <x v="0"/>
    <d v="2020-03-20T09:11:03.000"/>
    <s v="RT @VickiNashOII: With great regret we've decided to cancel the 2020 @oiioxford Summer Doctoral Programme. Given the ongoing public health…"/>
    <m/>
    <m/>
    <x v="0"/>
    <m/>
    <s v="http://pbs.twimg.com/profile_images/1154453407144370177/ke6hZ2in_normal.jpg"/>
    <x v="3"/>
    <d v="2020-03-20T00:00:00.000"/>
    <s v="09:11:03"/>
    <s v="https://twitter.com/#!/kolinakoltai/status/1240928830568558592"/>
    <m/>
    <m/>
    <s v="1240928830568558592"/>
    <m/>
    <b v="0"/>
    <n v="0"/>
    <s v=""/>
    <b v="0"/>
    <s v="en"/>
    <m/>
    <s v=""/>
    <b v="0"/>
    <n v="3"/>
    <s v="1240680327548416000"/>
    <s v="Twitter for Android"/>
    <b v="0"/>
    <s v="1240680327548416000"/>
    <s v="Tweet"/>
    <n v="0"/>
    <n v="0"/>
    <m/>
    <m/>
    <m/>
    <m/>
    <m/>
    <m/>
    <m/>
    <m/>
    <n v="1"/>
    <s v="1"/>
    <s v="1"/>
  </r>
  <r>
    <s v="kolinakoltai"/>
    <s v="vickinashoii"/>
    <m/>
    <m/>
    <m/>
    <m/>
    <m/>
    <m/>
    <m/>
    <m/>
    <s v="No"/>
    <n v="8"/>
    <m/>
    <m/>
    <x v="0"/>
    <d v="2020-03-20T09:11:03.000"/>
    <s v="RT @VickiNashOII: With great regret we've decided to cancel the 2020 @oiioxford Summer Doctoral Programme. Given the ongoing public health…"/>
    <m/>
    <m/>
    <x v="0"/>
    <m/>
    <s v="http://pbs.twimg.com/profile_images/1154453407144370177/ke6hZ2in_normal.jpg"/>
    <x v="3"/>
    <d v="2020-03-20T00:00:00.000"/>
    <s v="09:11:03"/>
    <s v="https://twitter.com/#!/kolinakoltai/status/1240928830568558592"/>
    <m/>
    <m/>
    <s v="1240928830568558592"/>
    <m/>
    <b v="0"/>
    <n v="0"/>
    <s v=""/>
    <b v="0"/>
    <s v="en"/>
    <m/>
    <s v=""/>
    <b v="0"/>
    <n v="3"/>
    <s v="1240680327548416000"/>
    <s v="Twitter for Android"/>
    <b v="0"/>
    <s v="1240680327548416000"/>
    <s v="Tweet"/>
    <n v="0"/>
    <n v="0"/>
    <m/>
    <m/>
    <m/>
    <m/>
    <m/>
    <m/>
    <m/>
    <m/>
    <n v="1"/>
    <s v="1"/>
    <s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1"/>
        <item x="2"/>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8" totalsRowShown="0" headerRowDxfId="219" dataDxfId="218">
  <autoFilter ref="A2:BE8"/>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6" totalsRowShown="0" headerRowDxfId="164" dataDxfId="163">
  <autoFilter ref="A2:AZ6"/>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78"/>
    <tableColumn id="52"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totalsRowShown="0" headerRowDxfId="112">
  <autoFilter ref="A2:Y3"/>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109" dataDxfId="108">
  <autoFilter ref="A1:C5"/>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8" totalsRowShown="0" headerRowDxfId="57" dataDxfId="56">
  <autoFilter ref="A2:BE8"/>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40680327548416000" TargetMode="External" /><Relationship Id="rId2" Type="http://schemas.openxmlformats.org/officeDocument/2006/relationships/hyperlink" Target="http://pbs.twimg.com/profile_images/1224317120563089409/tFenbqZe_normal.jpg" TargetMode="External" /><Relationship Id="rId3" Type="http://schemas.openxmlformats.org/officeDocument/2006/relationships/hyperlink" Target="http://pbs.twimg.com/profile_images/1224317120563089409/tFenbqZe_normal.jpg" TargetMode="External" /><Relationship Id="rId4" Type="http://schemas.openxmlformats.org/officeDocument/2006/relationships/hyperlink" Target="http://pbs.twimg.com/profile_images/2534760018/dx10cw081qu8u3i5f0pb_normal.jpeg" TargetMode="External" /><Relationship Id="rId5" Type="http://schemas.openxmlformats.org/officeDocument/2006/relationships/hyperlink" Target="http://pbs.twimg.com/profile_images/1002585194250080260/B514BJzf_normal.jpg" TargetMode="External" /><Relationship Id="rId6" Type="http://schemas.openxmlformats.org/officeDocument/2006/relationships/hyperlink" Target="http://pbs.twimg.com/profile_images/1154453407144370177/ke6hZ2in_normal.jpg" TargetMode="External" /><Relationship Id="rId7" Type="http://schemas.openxmlformats.org/officeDocument/2006/relationships/hyperlink" Target="http://pbs.twimg.com/profile_images/1154453407144370177/ke6hZ2in_normal.jpg" TargetMode="External" /><Relationship Id="rId8" Type="http://schemas.openxmlformats.org/officeDocument/2006/relationships/hyperlink" Target="https://twitter.com/#!/verosanchez_m/status/1240706286817329153" TargetMode="External" /><Relationship Id="rId9" Type="http://schemas.openxmlformats.org/officeDocument/2006/relationships/hyperlink" Target="https://twitter.com/#!/verosanchez_m/status/1240706286817329153" TargetMode="External" /><Relationship Id="rId10" Type="http://schemas.openxmlformats.org/officeDocument/2006/relationships/hyperlink" Target="https://twitter.com/#!/vickinashoii/status/1240680327548416000" TargetMode="External" /><Relationship Id="rId11" Type="http://schemas.openxmlformats.org/officeDocument/2006/relationships/hyperlink" Target="https://twitter.com/#!/oiioxford/status/1240683817687547912" TargetMode="External" /><Relationship Id="rId12" Type="http://schemas.openxmlformats.org/officeDocument/2006/relationships/hyperlink" Target="https://twitter.com/#!/kolinakoltai/status/1240928830568558592" TargetMode="External" /><Relationship Id="rId13" Type="http://schemas.openxmlformats.org/officeDocument/2006/relationships/hyperlink" Target="https://twitter.com/#!/kolinakoltai/status/1240928830568558592" TargetMode="External" /><Relationship Id="rId14" Type="http://schemas.openxmlformats.org/officeDocument/2006/relationships/comments" Target="../comments1.xml" /><Relationship Id="rId15" Type="http://schemas.openxmlformats.org/officeDocument/2006/relationships/vmlDrawing" Target="../drawings/vmlDrawing1.vml" /><Relationship Id="rId16" Type="http://schemas.openxmlformats.org/officeDocument/2006/relationships/table" Target="../tables/table1.xml" /><Relationship Id="rId1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verosanmedina.wordpress.com/" TargetMode="External" /><Relationship Id="rId2" Type="http://schemas.openxmlformats.org/officeDocument/2006/relationships/hyperlink" Target="http://t.co/ZpwZOUcTG0" TargetMode="External" /><Relationship Id="rId3" Type="http://schemas.openxmlformats.org/officeDocument/2006/relationships/hyperlink" Target="http://www.oii.ox.ac.uk/people/?id=4" TargetMode="External" /><Relationship Id="rId4" Type="http://schemas.openxmlformats.org/officeDocument/2006/relationships/hyperlink" Target="https://t.co/i88DZt7LaQ" TargetMode="External" /><Relationship Id="rId5" Type="http://schemas.openxmlformats.org/officeDocument/2006/relationships/hyperlink" Target="https://pbs.twimg.com/profile_banners/296639078/1565622266" TargetMode="External" /><Relationship Id="rId6" Type="http://schemas.openxmlformats.org/officeDocument/2006/relationships/hyperlink" Target="https://pbs.twimg.com/profile_banners/49976458/1554998041" TargetMode="External" /><Relationship Id="rId7" Type="http://schemas.openxmlformats.org/officeDocument/2006/relationships/hyperlink" Target="https://pbs.twimg.com/profile_banners/57140128/1394641537" TargetMode="External" /><Relationship Id="rId8" Type="http://schemas.openxmlformats.org/officeDocument/2006/relationships/hyperlink" Target="https://pbs.twimg.com/profile_banners/770729895374708736/1582661939"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pbs.twimg.com/profile_images/1224317120563089409/tFenbqZe_normal.jpg" TargetMode="External" /><Relationship Id="rId14" Type="http://schemas.openxmlformats.org/officeDocument/2006/relationships/hyperlink" Target="http://pbs.twimg.com/profile_images/1002585194250080260/B514BJzf_normal.jpg" TargetMode="External" /><Relationship Id="rId15" Type="http://schemas.openxmlformats.org/officeDocument/2006/relationships/hyperlink" Target="http://pbs.twimg.com/profile_images/2534760018/dx10cw081qu8u3i5f0pb_normal.jpeg" TargetMode="External" /><Relationship Id="rId16" Type="http://schemas.openxmlformats.org/officeDocument/2006/relationships/hyperlink" Target="http://pbs.twimg.com/profile_images/1154453407144370177/ke6hZ2in_normal.jpg" TargetMode="External" /><Relationship Id="rId17" Type="http://schemas.openxmlformats.org/officeDocument/2006/relationships/hyperlink" Target="https://twitter.com/verosanchez_m" TargetMode="External" /><Relationship Id="rId18" Type="http://schemas.openxmlformats.org/officeDocument/2006/relationships/hyperlink" Target="https://twitter.com/oiioxford" TargetMode="External" /><Relationship Id="rId19" Type="http://schemas.openxmlformats.org/officeDocument/2006/relationships/hyperlink" Target="https://twitter.com/vickinashoii" TargetMode="External" /><Relationship Id="rId20" Type="http://schemas.openxmlformats.org/officeDocument/2006/relationships/hyperlink" Target="https://twitter.com/kolinakoltai" TargetMode="External" /><Relationship Id="rId21" Type="http://schemas.openxmlformats.org/officeDocument/2006/relationships/comments" Target="../comments2.xml" /><Relationship Id="rId22" Type="http://schemas.openxmlformats.org/officeDocument/2006/relationships/vmlDrawing" Target="../drawings/vmlDrawing2.vml" /><Relationship Id="rId23" Type="http://schemas.openxmlformats.org/officeDocument/2006/relationships/table" Target="../tables/table2.xml" /><Relationship Id="rId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twitter.com/i/web/status/1240680327548416000" TargetMode="External" /><Relationship Id="rId2" Type="http://schemas.openxmlformats.org/officeDocument/2006/relationships/hyperlink" Target="http://pbs.twimg.com/profile_images/1224317120563089409/tFenbqZe_normal.jpg" TargetMode="External" /><Relationship Id="rId3" Type="http://schemas.openxmlformats.org/officeDocument/2006/relationships/hyperlink" Target="http://pbs.twimg.com/profile_images/1224317120563089409/tFenbqZe_normal.jpg" TargetMode="External" /><Relationship Id="rId4" Type="http://schemas.openxmlformats.org/officeDocument/2006/relationships/hyperlink" Target="http://pbs.twimg.com/profile_images/2534760018/dx10cw081qu8u3i5f0pb_normal.jpeg" TargetMode="External" /><Relationship Id="rId5" Type="http://schemas.openxmlformats.org/officeDocument/2006/relationships/hyperlink" Target="http://pbs.twimg.com/profile_images/1002585194250080260/B514BJzf_normal.jpg" TargetMode="External" /><Relationship Id="rId6" Type="http://schemas.openxmlformats.org/officeDocument/2006/relationships/hyperlink" Target="http://pbs.twimg.com/profile_images/1154453407144370177/ke6hZ2in_normal.jpg" TargetMode="External" /><Relationship Id="rId7" Type="http://schemas.openxmlformats.org/officeDocument/2006/relationships/hyperlink" Target="http://pbs.twimg.com/profile_images/1154453407144370177/ke6hZ2in_normal.jpg" TargetMode="External" /><Relationship Id="rId8" Type="http://schemas.openxmlformats.org/officeDocument/2006/relationships/hyperlink" Target="https://twitter.com/#!/verosanchez_m/status/1240706286817329153" TargetMode="External" /><Relationship Id="rId9" Type="http://schemas.openxmlformats.org/officeDocument/2006/relationships/hyperlink" Target="https://twitter.com/#!/verosanchez_m/status/1240706286817329153" TargetMode="External" /><Relationship Id="rId10" Type="http://schemas.openxmlformats.org/officeDocument/2006/relationships/hyperlink" Target="https://twitter.com/#!/vickinashoii/status/1240680327548416000" TargetMode="External" /><Relationship Id="rId11" Type="http://schemas.openxmlformats.org/officeDocument/2006/relationships/hyperlink" Target="https://twitter.com/#!/oiioxford/status/1240683817687547912" TargetMode="External" /><Relationship Id="rId12" Type="http://schemas.openxmlformats.org/officeDocument/2006/relationships/hyperlink" Target="https://twitter.com/#!/kolinakoltai/status/1240928830568558592" TargetMode="External" /><Relationship Id="rId13" Type="http://schemas.openxmlformats.org/officeDocument/2006/relationships/hyperlink" Target="https://twitter.com/#!/kolinakoltai/status/1240928830568558592" TargetMode="External" /><Relationship Id="rId14" Type="http://schemas.openxmlformats.org/officeDocument/2006/relationships/comments" Target="../comments7.xml" /><Relationship Id="rId15" Type="http://schemas.openxmlformats.org/officeDocument/2006/relationships/vmlDrawing" Target="../drawings/vmlDrawing6.vml" /><Relationship Id="rId16" Type="http://schemas.openxmlformats.org/officeDocument/2006/relationships/table" Target="../tables/table9.xml" /><Relationship Id="rId1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333</v>
      </c>
      <c r="BD2" s="13" t="s">
        <v>337</v>
      </c>
      <c r="BE2" s="13" t="s">
        <v>338</v>
      </c>
    </row>
    <row r="3" spans="1:57" ht="15" customHeight="1">
      <c r="A3" s="86" t="s">
        <v>214</v>
      </c>
      <c r="B3" s="86" t="s">
        <v>216</v>
      </c>
      <c r="C3" s="54" t="s">
        <v>343</v>
      </c>
      <c r="D3" s="55">
        <v>3</v>
      </c>
      <c r="E3" s="67" t="s">
        <v>132</v>
      </c>
      <c r="F3" s="56">
        <v>35</v>
      </c>
      <c r="G3" s="54"/>
      <c r="H3" s="58"/>
      <c r="I3" s="57"/>
      <c r="J3" s="57"/>
      <c r="K3" s="36" t="s">
        <v>65</v>
      </c>
      <c r="L3" s="63">
        <v>3</v>
      </c>
      <c r="M3" s="63"/>
      <c r="N3" s="64"/>
      <c r="O3" s="87" t="s">
        <v>218</v>
      </c>
      <c r="P3" s="89">
        <v>43909.76856481482</v>
      </c>
      <c r="Q3" s="87" t="s">
        <v>220</v>
      </c>
      <c r="R3" s="87"/>
      <c r="S3" s="87"/>
      <c r="T3" s="87"/>
      <c r="U3" s="87"/>
      <c r="V3" s="92" t="s">
        <v>224</v>
      </c>
      <c r="W3" s="89">
        <v>43909.76856481482</v>
      </c>
      <c r="X3" s="93">
        <v>43909</v>
      </c>
      <c r="Y3" s="95" t="s">
        <v>228</v>
      </c>
      <c r="Z3" s="92" t="s">
        <v>232</v>
      </c>
      <c r="AA3" s="87"/>
      <c r="AB3" s="87"/>
      <c r="AC3" s="95" t="s">
        <v>236</v>
      </c>
      <c r="AD3" s="87"/>
      <c r="AE3" s="87" t="b">
        <v>0</v>
      </c>
      <c r="AF3" s="87">
        <v>0</v>
      </c>
      <c r="AG3" s="95" t="s">
        <v>240</v>
      </c>
      <c r="AH3" s="87" t="b">
        <v>0</v>
      </c>
      <c r="AI3" s="87" t="s">
        <v>241</v>
      </c>
      <c r="AJ3" s="87"/>
      <c r="AK3" s="95" t="s">
        <v>240</v>
      </c>
      <c r="AL3" s="87" t="b">
        <v>0</v>
      </c>
      <c r="AM3" s="87">
        <v>2</v>
      </c>
      <c r="AN3" s="95" t="s">
        <v>237</v>
      </c>
      <c r="AO3" s="87" t="s">
        <v>242</v>
      </c>
      <c r="AP3" s="87" t="b">
        <v>0</v>
      </c>
      <c r="AQ3" s="95" t="s">
        <v>237</v>
      </c>
      <c r="AR3" s="87" t="s">
        <v>176</v>
      </c>
      <c r="AS3" s="87">
        <v>0</v>
      </c>
      <c r="AT3" s="87">
        <v>0</v>
      </c>
      <c r="AU3" s="87"/>
      <c r="AV3" s="87"/>
      <c r="AW3" s="87"/>
      <c r="AX3" s="87"/>
      <c r="AY3" s="87"/>
      <c r="AZ3" s="87"/>
      <c r="BA3" s="87"/>
      <c r="BB3" s="87"/>
      <c r="BC3">
        <v>1</v>
      </c>
      <c r="BD3" s="87" t="str">
        <f>REPLACE(INDEX(GroupVertices[Group],MATCH(Edges[[#This Row],[Vertex 1]],GroupVertices[Vertex],0)),1,1,"")</f>
        <v>1</v>
      </c>
      <c r="BE3" s="87" t="str">
        <f>REPLACE(INDEX(GroupVertices[Group],MATCH(Edges[[#This Row],[Vertex 2]],GroupVertices[Vertex],0)),1,1,"")</f>
        <v>1</v>
      </c>
    </row>
    <row r="4" spans="1:57" ht="15" customHeight="1">
      <c r="A4" s="86" t="s">
        <v>214</v>
      </c>
      <c r="B4" s="86" t="s">
        <v>215</v>
      </c>
      <c r="C4" s="54" t="s">
        <v>343</v>
      </c>
      <c r="D4" s="55">
        <v>3</v>
      </c>
      <c r="E4" s="67" t="s">
        <v>132</v>
      </c>
      <c r="F4" s="56">
        <v>35</v>
      </c>
      <c r="G4" s="54"/>
      <c r="H4" s="58"/>
      <c r="I4" s="57"/>
      <c r="J4" s="57"/>
      <c r="K4" s="36" t="s">
        <v>65</v>
      </c>
      <c r="L4" s="85">
        <v>4</v>
      </c>
      <c r="M4" s="85"/>
      <c r="N4" s="64"/>
      <c r="O4" s="88" t="s">
        <v>218</v>
      </c>
      <c r="P4" s="90">
        <v>43909.76856481482</v>
      </c>
      <c r="Q4" s="88" t="s">
        <v>220</v>
      </c>
      <c r="R4" s="88"/>
      <c r="S4" s="88"/>
      <c r="T4" s="88"/>
      <c r="U4" s="88"/>
      <c r="V4" s="91" t="s">
        <v>224</v>
      </c>
      <c r="W4" s="90">
        <v>43909.76856481482</v>
      </c>
      <c r="X4" s="94">
        <v>43909</v>
      </c>
      <c r="Y4" s="96" t="s">
        <v>228</v>
      </c>
      <c r="Z4" s="91" t="s">
        <v>232</v>
      </c>
      <c r="AA4" s="88"/>
      <c r="AB4" s="88"/>
      <c r="AC4" s="96" t="s">
        <v>236</v>
      </c>
      <c r="AD4" s="88"/>
      <c r="AE4" s="88" t="b">
        <v>0</v>
      </c>
      <c r="AF4" s="88">
        <v>0</v>
      </c>
      <c r="AG4" s="96" t="s">
        <v>240</v>
      </c>
      <c r="AH4" s="88" t="b">
        <v>0</v>
      </c>
      <c r="AI4" s="88" t="s">
        <v>241</v>
      </c>
      <c r="AJ4" s="88"/>
      <c r="AK4" s="96" t="s">
        <v>240</v>
      </c>
      <c r="AL4" s="88" t="b">
        <v>0</v>
      </c>
      <c r="AM4" s="88">
        <v>2</v>
      </c>
      <c r="AN4" s="96" t="s">
        <v>237</v>
      </c>
      <c r="AO4" s="88" t="s">
        <v>242</v>
      </c>
      <c r="AP4" s="88" t="b">
        <v>0</v>
      </c>
      <c r="AQ4" s="96" t="s">
        <v>237</v>
      </c>
      <c r="AR4" s="88" t="s">
        <v>176</v>
      </c>
      <c r="AS4" s="88">
        <v>0</v>
      </c>
      <c r="AT4" s="88">
        <v>0</v>
      </c>
      <c r="AU4" s="88"/>
      <c r="AV4" s="88"/>
      <c r="AW4" s="88"/>
      <c r="AX4" s="88"/>
      <c r="AY4" s="88"/>
      <c r="AZ4" s="88"/>
      <c r="BA4" s="88"/>
      <c r="BB4" s="88"/>
      <c r="BC4">
        <v>1</v>
      </c>
      <c r="BD4" s="87" t="str">
        <f>REPLACE(INDEX(GroupVertices[Group],MATCH(Edges[[#This Row],[Vertex 1]],GroupVertices[Vertex],0)),1,1,"")</f>
        <v>1</v>
      </c>
      <c r="BE4" s="87" t="str">
        <f>REPLACE(INDEX(GroupVertices[Group],MATCH(Edges[[#This Row],[Vertex 2]],GroupVertices[Vertex],0)),1,1,"")</f>
        <v>1</v>
      </c>
    </row>
    <row r="5" spans="1:57" ht="45">
      <c r="A5" s="86" t="s">
        <v>215</v>
      </c>
      <c r="B5" s="86" t="s">
        <v>216</v>
      </c>
      <c r="C5" s="54" t="s">
        <v>343</v>
      </c>
      <c r="D5" s="55">
        <v>3</v>
      </c>
      <c r="E5" s="67" t="s">
        <v>132</v>
      </c>
      <c r="F5" s="56">
        <v>35</v>
      </c>
      <c r="G5" s="54"/>
      <c r="H5" s="58"/>
      <c r="I5" s="57"/>
      <c r="J5" s="57"/>
      <c r="K5" s="36" t="s">
        <v>66</v>
      </c>
      <c r="L5" s="85">
        <v>5</v>
      </c>
      <c r="M5" s="85"/>
      <c r="N5" s="64"/>
      <c r="O5" s="88" t="s">
        <v>219</v>
      </c>
      <c r="P5" s="90">
        <v>43909.69693287037</v>
      </c>
      <c r="Q5" s="88" t="s">
        <v>221</v>
      </c>
      <c r="R5" s="91" t="s">
        <v>222</v>
      </c>
      <c r="S5" s="88" t="s">
        <v>223</v>
      </c>
      <c r="T5" s="88"/>
      <c r="U5" s="88"/>
      <c r="V5" s="91" t="s">
        <v>225</v>
      </c>
      <c r="W5" s="90">
        <v>43909.69693287037</v>
      </c>
      <c r="X5" s="94">
        <v>43909</v>
      </c>
      <c r="Y5" s="96" t="s">
        <v>229</v>
      </c>
      <c r="Z5" s="91" t="s">
        <v>233</v>
      </c>
      <c r="AA5" s="88"/>
      <c r="AB5" s="88"/>
      <c r="AC5" s="96" t="s">
        <v>237</v>
      </c>
      <c r="AD5" s="88"/>
      <c r="AE5" s="88" t="b">
        <v>0</v>
      </c>
      <c r="AF5" s="88">
        <v>0</v>
      </c>
      <c r="AG5" s="96" t="s">
        <v>240</v>
      </c>
      <c r="AH5" s="88" t="b">
        <v>0</v>
      </c>
      <c r="AI5" s="88" t="s">
        <v>241</v>
      </c>
      <c r="AJ5" s="88"/>
      <c r="AK5" s="96" t="s">
        <v>240</v>
      </c>
      <c r="AL5" s="88" t="b">
        <v>0</v>
      </c>
      <c r="AM5" s="88">
        <v>0</v>
      </c>
      <c r="AN5" s="96" t="s">
        <v>240</v>
      </c>
      <c r="AO5" s="88" t="s">
        <v>242</v>
      </c>
      <c r="AP5" s="88" t="b">
        <v>1</v>
      </c>
      <c r="AQ5" s="96" t="s">
        <v>237</v>
      </c>
      <c r="AR5" s="88" t="s">
        <v>176</v>
      </c>
      <c r="AS5" s="88">
        <v>0</v>
      </c>
      <c r="AT5" s="88">
        <v>0</v>
      </c>
      <c r="AU5" s="88"/>
      <c r="AV5" s="88"/>
      <c r="AW5" s="88"/>
      <c r="AX5" s="88"/>
      <c r="AY5" s="88"/>
      <c r="AZ5" s="88"/>
      <c r="BA5" s="88"/>
      <c r="BB5" s="88"/>
      <c r="BC5">
        <v>1</v>
      </c>
      <c r="BD5" s="87" t="str">
        <f>REPLACE(INDEX(GroupVertices[Group],MATCH(Edges[[#This Row],[Vertex 1]],GroupVertices[Vertex],0)),1,1,"")</f>
        <v>1</v>
      </c>
      <c r="BE5" s="87" t="str">
        <f>REPLACE(INDEX(GroupVertices[Group],MATCH(Edges[[#This Row],[Vertex 2]],GroupVertices[Vertex],0)),1,1,"")</f>
        <v>1</v>
      </c>
    </row>
    <row r="6" spans="1:57" ht="45">
      <c r="A6" s="86" t="s">
        <v>216</v>
      </c>
      <c r="B6" s="86" t="s">
        <v>215</v>
      </c>
      <c r="C6" s="54" t="s">
        <v>343</v>
      </c>
      <c r="D6" s="55">
        <v>3</v>
      </c>
      <c r="E6" s="67" t="s">
        <v>132</v>
      </c>
      <c r="F6" s="56">
        <v>35</v>
      </c>
      <c r="G6" s="54"/>
      <c r="H6" s="58"/>
      <c r="I6" s="57"/>
      <c r="J6" s="57"/>
      <c r="K6" s="36" t="s">
        <v>66</v>
      </c>
      <c r="L6" s="85">
        <v>6</v>
      </c>
      <c r="M6" s="85"/>
      <c r="N6" s="64"/>
      <c r="O6" s="88" t="s">
        <v>218</v>
      </c>
      <c r="P6" s="90">
        <v>43909.7065625</v>
      </c>
      <c r="Q6" s="88" t="s">
        <v>220</v>
      </c>
      <c r="R6" s="88"/>
      <c r="S6" s="88"/>
      <c r="T6" s="88"/>
      <c r="U6" s="88"/>
      <c r="V6" s="91" t="s">
        <v>226</v>
      </c>
      <c r="W6" s="90">
        <v>43909.7065625</v>
      </c>
      <c r="X6" s="94">
        <v>43909</v>
      </c>
      <c r="Y6" s="96" t="s">
        <v>230</v>
      </c>
      <c r="Z6" s="91" t="s">
        <v>234</v>
      </c>
      <c r="AA6" s="88"/>
      <c r="AB6" s="88"/>
      <c r="AC6" s="96" t="s">
        <v>238</v>
      </c>
      <c r="AD6" s="88"/>
      <c r="AE6" s="88" t="b">
        <v>0</v>
      </c>
      <c r="AF6" s="88">
        <v>0</v>
      </c>
      <c r="AG6" s="96" t="s">
        <v>240</v>
      </c>
      <c r="AH6" s="88" t="b">
        <v>0</v>
      </c>
      <c r="AI6" s="88" t="s">
        <v>241</v>
      </c>
      <c r="AJ6" s="88"/>
      <c r="AK6" s="96" t="s">
        <v>240</v>
      </c>
      <c r="AL6" s="88" t="b">
        <v>0</v>
      </c>
      <c r="AM6" s="88">
        <v>2</v>
      </c>
      <c r="AN6" s="96" t="s">
        <v>237</v>
      </c>
      <c r="AO6" s="88" t="s">
        <v>243</v>
      </c>
      <c r="AP6" s="88" t="b">
        <v>0</v>
      </c>
      <c r="AQ6" s="96" t="s">
        <v>237</v>
      </c>
      <c r="AR6" s="88" t="s">
        <v>176</v>
      </c>
      <c r="AS6" s="88">
        <v>0</v>
      </c>
      <c r="AT6" s="88">
        <v>0</v>
      </c>
      <c r="AU6" s="88"/>
      <c r="AV6" s="88"/>
      <c r="AW6" s="88"/>
      <c r="AX6" s="88"/>
      <c r="AY6" s="88"/>
      <c r="AZ6" s="88"/>
      <c r="BA6" s="88"/>
      <c r="BB6" s="88"/>
      <c r="BC6">
        <v>1</v>
      </c>
      <c r="BD6" s="87" t="str">
        <f>REPLACE(INDEX(GroupVertices[Group],MATCH(Edges[[#This Row],[Vertex 1]],GroupVertices[Vertex],0)),1,1,"")</f>
        <v>1</v>
      </c>
      <c r="BE6" s="87" t="str">
        <f>REPLACE(INDEX(GroupVertices[Group],MATCH(Edges[[#This Row],[Vertex 2]],GroupVertices[Vertex],0)),1,1,"")</f>
        <v>1</v>
      </c>
    </row>
    <row r="7" spans="1:57" ht="45">
      <c r="A7" s="86" t="s">
        <v>217</v>
      </c>
      <c r="B7" s="86" t="s">
        <v>216</v>
      </c>
      <c r="C7" s="54" t="s">
        <v>343</v>
      </c>
      <c r="D7" s="55">
        <v>3</v>
      </c>
      <c r="E7" s="67" t="s">
        <v>132</v>
      </c>
      <c r="F7" s="56">
        <v>35</v>
      </c>
      <c r="G7" s="54"/>
      <c r="H7" s="58"/>
      <c r="I7" s="57"/>
      <c r="J7" s="57"/>
      <c r="K7" s="36" t="s">
        <v>65</v>
      </c>
      <c r="L7" s="85">
        <v>7</v>
      </c>
      <c r="M7" s="85"/>
      <c r="N7" s="64"/>
      <c r="O7" s="88" t="s">
        <v>218</v>
      </c>
      <c r="P7" s="90">
        <v>43910.38267361111</v>
      </c>
      <c r="Q7" s="88" t="s">
        <v>220</v>
      </c>
      <c r="R7" s="88"/>
      <c r="S7" s="88"/>
      <c r="T7" s="88"/>
      <c r="U7" s="88"/>
      <c r="V7" s="91" t="s">
        <v>227</v>
      </c>
      <c r="W7" s="90">
        <v>43910.38267361111</v>
      </c>
      <c r="X7" s="94">
        <v>43910</v>
      </c>
      <c r="Y7" s="96" t="s">
        <v>231</v>
      </c>
      <c r="Z7" s="91" t="s">
        <v>235</v>
      </c>
      <c r="AA7" s="88"/>
      <c r="AB7" s="88"/>
      <c r="AC7" s="96" t="s">
        <v>239</v>
      </c>
      <c r="AD7" s="88"/>
      <c r="AE7" s="88" t="b">
        <v>0</v>
      </c>
      <c r="AF7" s="88">
        <v>0</v>
      </c>
      <c r="AG7" s="96" t="s">
        <v>240</v>
      </c>
      <c r="AH7" s="88" t="b">
        <v>0</v>
      </c>
      <c r="AI7" s="88" t="s">
        <v>241</v>
      </c>
      <c r="AJ7" s="88"/>
      <c r="AK7" s="96" t="s">
        <v>240</v>
      </c>
      <c r="AL7" s="88" t="b">
        <v>0</v>
      </c>
      <c r="AM7" s="88">
        <v>3</v>
      </c>
      <c r="AN7" s="96" t="s">
        <v>237</v>
      </c>
      <c r="AO7" s="88" t="s">
        <v>244</v>
      </c>
      <c r="AP7" s="88" t="b">
        <v>0</v>
      </c>
      <c r="AQ7" s="96" t="s">
        <v>237</v>
      </c>
      <c r="AR7" s="88" t="s">
        <v>176</v>
      </c>
      <c r="AS7" s="88">
        <v>0</v>
      </c>
      <c r="AT7" s="88">
        <v>0</v>
      </c>
      <c r="AU7" s="88"/>
      <c r="AV7" s="88"/>
      <c r="AW7" s="88"/>
      <c r="AX7" s="88"/>
      <c r="AY7" s="88"/>
      <c r="AZ7" s="88"/>
      <c r="BA7" s="88"/>
      <c r="BB7" s="88"/>
      <c r="BC7">
        <v>1</v>
      </c>
      <c r="BD7" s="87" t="str">
        <f>REPLACE(INDEX(GroupVertices[Group],MATCH(Edges[[#This Row],[Vertex 1]],GroupVertices[Vertex],0)),1,1,"")</f>
        <v>1</v>
      </c>
      <c r="BE7" s="87" t="str">
        <f>REPLACE(INDEX(GroupVertices[Group],MATCH(Edges[[#This Row],[Vertex 2]],GroupVertices[Vertex],0)),1,1,"")</f>
        <v>1</v>
      </c>
    </row>
    <row r="8" spans="1:57" ht="45">
      <c r="A8" s="86" t="s">
        <v>217</v>
      </c>
      <c r="B8" s="86" t="s">
        <v>215</v>
      </c>
      <c r="C8" s="54" t="s">
        <v>343</v>
      </c>
      <c r="D8" s="55">
        <v>3</v>
      </c>
      <c r="E8" s="67" t="s">
        <v>132</v>
      </c>
      <c r="F8" s="56">
        <v>35</v>
      </c>
      <c r="G8" s="54"/>
      <c r="H8" s="58"/>
      <c r="I8" s="57"/>
      <c r="J8" s="57"/>
      <c r="K8" s="36" t="s">
        <v>65</v>
      </c>
      <c r="L8" s="85">
        <v>8</v>
      </c>
      <c r="M8" s="85"/>
      <c r="N8" s="64"/>
      <c r="O8" s="88" t="s">
        <v>218</v>
      </c>
      <c r="P8" s="90">
        <v>43910.38267361111</v>
      </c>
      <c r="Q8" s="88" t="s">
        <v>220</v>
      </c>
      <c r="R8" s="88"/>
      <c r="S8" s="88"/>
      <c r="T8" s="88"/>
      <c r="U8" s="88"/>
      <c r="V8" s="91" t="s">
        <v>227</v>
      </c>
      <c r="W8" s="90">
        <v>43910.38267361111</v>
      </c>
      <c r="X8" s="94">
        <v>43910</v>
      </c>
      <c r="Y8" s="96" t="s">
        <v>231</v>
      </c>
      <c r="Z8" s="91" t="s">
        <v>235</v>
      </c>
      <c r="AA8" s="88"/>
      <c r="AB8" s="88"/>
      <c r="AC8" s="96" t="s">
        <v>239</v>
      </c>
      <c r="AD8" s="88"/>
      <c r="AE8" s="88" t="b">
        <v>0</v>
      </c>
      <c r="AF8" s="88">
        <v>0</v>
      </c>
      <c r="AG8" s="96" t="s">
        <v>240</v>
      </c>
      <c r="AH8" s="88" t="b">
        <v>0</v>
      </c>
      <c r="AI8" s="88" t="s">
        <v>241</v>
      </c>
      <c r="AJ8" s="88"/>
      <c r="AK8" s="96" t="s">
        <v>240</v>
      </c>
      <c r="AL8" s="88" t="b">
        <v>0</v>
      </c>
      <c r="AM8" s="88">
        <v>3</v>
      </c>
      <c r="AN8" s="96" t="s">
        <v>237</v>
      </c>
      <c r="AO8" s="88" t="s">
        <v>244</v>
      </c>
      <c r="AP8" s="88" t="b">
        <v>0</v>
      </c>
      <c r="AQ8" s="96" t="s">
        <v>237</v>
      </c>
      <c r="AR8" s="88" t="s">
        <v>176</v>
      </c>
      <c r="AS8" s="88">
        <v>0</v>
      </c>
      <c r="AT8" s="88">
        <v>0</v>
      </c>
      <c r="AU8" s="88"/>
      <c r="AV8" s="88"/>
      <c r="AW8" s="88"/>
      <c r="AX8" s="88"/>
      <c r="AY8" s="88"/>
      <c r="AZ8" s="88"/>
      <c r="BA8" s="88"/>
      <c r="BB8" s="88"/>
      <c r="BC8">
        <v>1</v>
      </c>
      <c r="BD8" s="87" t="str">
        <f>REPLACE(INDEX(GroupVertices[Group],MATCH(Edges[[#This Row],[Vertex 1]],GroupVertices[Vertex],0)),1,1,"")</f>
        <v>1</v>
      </c>
      <c r="BE8" s="87" t="str">
        <f>REPLACE(INDEX(GroupVertices[Group],MATCH(Edges[[#This Row],[Vertex 2]],GroupVertices[Vertex],0)),1,1,"")</f>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R5" r:id="rId1" display="https://twitter.com/i/web/status/1240680327548416000"/>
    <hyperlink ref="V3" r:id="rId2" display="http://pbs.twimg.com/profile_images/1224317120563089409/tFenbqZe_normal.jpg"/>
    <hyperlink ref="V4" r:id="rId3" display="http://pbs.twimg.com/profile_images/1224317120563089409/tFenbqZe_normal.jpg"/>
    <hyperlink ref="V5" r:id="rId4" display="http://pbs.twimg.com/profile_images/2534760018/dx10cw081qu8u3i5f0pb_normal.jpeg"/>
    <hyperlink ref="V6" r:id="rId5" display="http://pbs.twimg.com/profile_images/1002585194250080260/B514BJzf_normal.jpg"/>
    <hyperlink ref="V7" r:id="rId6" display="http://pbs.twimg.com/profile_images/1154453407144370177/ke6hZ2in_normal.jpg"/>
    <hyperlink ref="V8" r:id="rId7" display="http://pbs.twimg.com/profile_images/1154453407144370177/ke6hZ2in_normal.jpg"/>
    <hyperlink ref="Z3" r:id="rId8" display="https://twitter.com/#!/verosanchez_m/status/1240706286817329153"/>
    <hyperlink ref="Z4" r:id="rId9" display="https://twitter.com/#!/verosanchez_m/status/1240706286817329153"/>
    <hyperlink ref="Z5" r:id="rId10" display="https://twitter.com/#!/vickinashoii/status/1240680327548416000"/>
    <hyperlink ref="Z6" r:id="rId11" display="https://twitter.com/#!/oiioxford/status/1240683817687547912"/>
    <hyperlink ref="Z7" r:id="rId12" display="https://twitter.com/#!/kolinakoltai/status/1240928830568558592"/>
    <hyperlink ref="Z8" r:id="rId13" display="https://twitter.com/#!/kolinakoltai/status/1240928830568558592"/>
  </hyperlinks>
  <printOptions/>
  <pageMargins left="0.7" right="0.7" top="0.75" bottom="0.75" header="0.3" footer="0.3"/>
  <pageSetup horizontalDpi="600" verticalDpi="600" orientation="portrait" r:id="rId17"/>
  <legacyDrawing r:id="rId15"/>
  <tableParts>
    <tablePart r:id="rId16"/>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245</v>
      </c>
      <c r="AE2" s="13" t="s">
        <v>246</v>
      </c>
      <c r="AF2" s="13" t="s">
        <v>247</v>
      </c>
      <c r="AG2" s="13" t="s">
        <v>248</v>
      </c>
      <c r="AH2" s="13" t="s">
        <v>249</v>
      </c>
      <c r="AI2" s="13" t="s">
        <v>250</v>
      </c>
      <c r="AJ2" s="13" t="s">
        <v>251</v>
      </c>
      <c r="AK2" s="13" t="s">
        <v>252</v>
      </c>
      <c r="AL2" s="13" t="s">
        <v>253</v>
      </c>
      <c r="AM2" s="13" t="s">
        <v>254</v>
      </c>
      <c r="AN2" s="13" t="s">
        <v>255</v>
      </c>
      <c r="AO2" s="13" t="s">
        <v>256</v>
      </c>
      <c r="AP2" s="13" t="s">
        <v>257</v>
      </c>
      <c r="AQ2" s="13" t="s">
        <v>258</v>
      </c>
      <c r="AR2" s="13" t="s">
        <v>259</v>
      </c>
      <c r="AS2" s="13" t="s">
        <v>194</v>
      </c>
      <c r="AT2" s="13" t="s">
        <v>260</v>
      </c>
      <c r="AU2" s="13" t="s">
        <v>261</v>
      </c>
      <c r="AV2" s="13" t="s">
        <v>262</v>
      </c>
      <c r="AW2" s="13" t="s">
        <v>263</v>
      </c>
      <c r="AX2" s="13" t="s">
        <v>264</v>
      </c>
      <c r="AY2" s="13" t="s">
        <v>265</v>
      </c>
      <c r="AZ2" s="13" t="s">
        <v>336</v>
      </c>
      <c r="BA2" s="3"/>
      <c r="BB2" s="3"/>
    </row>
    <row r="3" spans="1:54" ht="15" customHeight="1">
      <c r="A3" s="50" t="s">
        <v>214</v>
      </c>
      <c r="B3" s="54"/>
      <c r="C3" s="54"/>
      <c r="D3" s="55"/>
      <c r="E3" s="56"/>
      <c r="F3" s="118" t="s">
        <v>224</v>
      </c>
      <c r="G3" s="54"/>
      <c r="H3" s="58" t="s">
        <v>214</v>
      </c>
      <c r="I3" s="57"/>
      <c r="J3" s="57"/>
      <c r="K3" s="120" t="s">
        <v>292</v>
      </c>
      <c r="L3" s="60"/>
      <c r="M3" s="61">
        <v>115.86326599121094</v>
      </c>
      <c r="N3" s="61">
        <v>164.4572296142578</v>
      </c>
      <c r="O3" s="59"/>
      <c r="P3" s="62"/>
      <c r="Q3" s="62"/>
      <c r="R3" s="51"/>
      <c r="S3" s="51"/>
      <c r="T3" s="51"/>
      <c r="U3" s="51"/>
      <c r="V3" s="52"/>
      <c r="W3" s="52"/>
      <c r="X3" s="53"/>
      <c r="Y3" s="52"/>
      <c r="Z3" s="52"/>
      <c r="AA3" s="63">
        <v>3</v>
      </c>
      <c r="AB3" s="63"/>
      <c r="AC3" s="64"/>
      <c r="AD3" s="87" t="s">
        <v>266</v>
      </c>
      <c r="AE3" s="87">
        <v>537</v>
      </c>
      <c r="AF3" s="87">
        <v>152</v>
      </c>
      <c r="AG3" s="87">
        <v>301</v>
      </c>
      <c r="AH3" s="87">
        <v>2473</v>
      </c>
      <c r="AI3" s="87"/>
      <c r="AJ3" s="87" t="s">
        <v>270</v>
      </c>
      <c r="AK3" s="87" t="s">
        <v>274</v>
      </c>
      <c r="AL3" s="92" t="s">
        <v>278</v>
      </c>
      <c r="AM3" s="87"/>
      <c r="AN3" s="89">
        <v>40674.1871875</v>
      </c>
      <c r="AO3" s="92" t="s">
        <v>282</v>
      </c>
      <c r="AP3" s="87" t="b">
        <v>0</v>
      </c>
      <c r="AQ3" s="87" t="b">
        <v>0</v>
      </c>
      <c r="AR3" s="87" t="b">
        <v>0</v>
      </c>
      <c r="AS3" s="87"/>
      <c r="AT3" s="87">
        <v>2</v>
      </c>
      <c r="AU3" s="92" t="s">
        <v>286</v>
      </c>
      <c r="AV3" s="87" t="b">
        <v>0</v>
      </c>
      <c r="AW3" s="87" t="s">
        <v>287</v>
      </c>
      <c r="AX3" s="92" t="s">
        <v>288</v>
      </c>
      <c r="AY3" s="87" t="s">
        <v>66</v>
      </c>
      <c r="AZ3" s="87" t="str">
        <f>REPLACE(INDEX(GroupVertices[Group],MATCH(Vertices[[#This Row],[Vertex]],GroupVertices[Vertex],0)),1,1,"")</f>
        <v>1</v>
      </c>
      <c r="BA3" s="3"/>
      <c r="BB3" s="3"/>
    </row>
    <row r="4" spans="1:57" ht="15">
      <c r="A4" s="14" t="s">
        <v>216</v>
      </c>
      <c r="B4" s="15"/>
      <c r="C4" s="15"/>
      <c r="D4" s="97"/>
      <c r="E4" s="83"/>
      <c r="F4" s="118" t="s">
        <v>226</v>
      </c>
      <c r="G4" s="15"/>
      <c r="H4" s="16" t="s">
        <v>216</v>
      </c>
      <c r="I4" s="68"/>
      <c r="J4" s="68"/>
      <c r="K4" s="120" t="s">
        <v>293</v>
      </c>
      <c r="L4" s="98"/>
      <c r="M4" s="99">
        <v>2417.585693359375</v>
      </c>
      <c r="N4" s="99">
        <v>7467.66845703125</v>
      </c>
      <c r="O4" s="78"/>
      <c r="P4" s="100"/>
      <c r="Q4" s="100"/>
      <c r="R4" s="101"/>
      <c r="S4" s="101"/>
      <c r="T4" s="101"/>
      <c r="U4" s="101"/>
      <c r="V4" s="53"/>
      <c r="W4" s="53"/>
      <c r="X4" s="53"/>
      <c r="Y4" s="53"/>
      <c r="Z4" s="52"/>
      <c r="AA4" s="84">
        <v>4</v>
      </c>
      <c r="AB4" s="84"/>
      <c r="AC4" s="102"/>
      <c r="AD4" s="87" t="s">
        <v>267</v>
      </c>
      <c r="AE4" s="87">
        <v>1319</v>
      </c>
      <c r="AF4" s="87">
        <v>34164</v>
      </c>
      <c r="AG4" s="87">
        <v>6450</v>
      </c>
      <c r="AH4" s="87">
        <v>3493</v>
      </c>
      <c r="AI4" s="87"/>
      <c r="AJ4" s="87" t="s">
        <v>271</v>
      </c>
      <c r="AK4" s="87" t="s">
        <v>275</v>
      </c>
      <c r="AL4" s="92" t="s">
        <v>279</v>
      </c>
      <c r="AM4" s="87"/>
      <c r="AN4" s="89">
        <v>39987.567824074074</v>
      </c>
      <c r="AO4" s="92" t="s">
        <v>283</v>
      </c>
      <c r="AP4" s="87" t="b">
        <v>0</v>
      </c>
      <c r="AQ4" s="87" t="b">
        <v>0</v>
      </c>
      <c r="AR4" s="87" t="b">
        <v>1</v>
      </c>
      <c r="AS4" s="87"/>
      <c r="AT4" s="87">
        <v>1242</v>
      </c>
      <c r="AU4" s="92" t="s">
        <v>286</v>
      </c>
      <c r="AV4" s="87" t="b">
        <v>1</v>
      </c>
      <c r="AW4" s="87" t="s">
        <v>287</v>
      </c>
      <c r="AX4" s="92" t="s">
        <v>289</v>
      </c>
      <c r="AY4" s="87" t="s">
        <v>66</v>
      </c>
      <c r="AZ4" s="87" t="str">
        <f>REPLACE(INDEX(GroupVertices[Group],MATCH(Vertices[[#This Row],[Vertex]],GroupVertices[Vertex],0)),1,1,"")</f>
        <v>1</v>
      </c>
      <c r="BA4" s="2"/>
      <c r="BB4" s="3"/>
      <c r="BC4" s="3"/>
      <c r="BD4" s="3"/>
      <c r="BE4" s="3"/>
    </row>
    <row r="5" spans="1:57" ht="15">
      <c r="A5" s="14" t="s">
        <v>215</v>
      </c>
      <c r="B5" s="15"/>
      <c r="C5" s="15"/>
      <c r="D5" s="97"/>
      <c r="E5" s="83"/>
      <c r="F5" s="118" t="s">
        <v>225</v>
      </c>
      <c r="G5" s="15"/>
      <c r="H5" s="16" t="s">
        <v>215</v>
      </c>
      <c r="I5" s="68"/>
      <c r="J5" s="68"/>
      <c r="K5" s="120" t="s">
        <v>294</v>
      </c>
      <c r="L5" s="98"/>
      <c r="M5" s="99">
        <v>7581.4140625</v>
      </c>
      <c r="N5" s="99">
        <v>2531.362060546875</v>
      </c>
      <c r="O5" s="78"/>
      <c r="P5" s="100"/>
      <c r="Q5" s="100"/>
      <c r="R5" s="101"/>
      <c r="S5" s="101"/>
      <c r="T5" s="101"/>
      <c r="U5" s="101"/>
      <c r="V5" s="53"/>
      <c r="W5" s="53"/>
      <c r="X5" s="53"/>
      <c r="Y5" s="53"/>
      <c r="Z5" s="52"/>
      <c r="AA5" s="84">
        <v>5</v>
      </c>
      <c r="AB5" s="84"/>
      <c r="AC5" s="102"/>
      <c r="AD5" s="87" t="s">
        <v>268</v>
      </c>
      <c r="AE5" s="87">
        <v>1186</v>
      </c>
      <c r="AF5" s="87">
        <v>2868</v>
      </c>
      <c r="AG5" s="87">
        <v>1041</v>
      </c>
      <c r="AH5" s="87">
        <v>1342</v>
      </c>
      <c r="AI5" s="87"/>
      <c r="AJ5" s="87" t="s">
        <v>272</v>
      </c>
      <c r="AK5" s="87" t="s">
        <v>276</v>
      </c>
      <c r="AL5" s="92" t="s">
        <v>280</v>
      </c>
      <c r="AM5" s="87"/>
      <c r="AN5" s="89">
        <v>40009.88768518518</v>
      </c>
      <c r="AO5" s="92" t="s">
        <v>284</v>
      </c>
      <c r="AP5" s="87" t="b">
        <v>0</v>
      </c>
      <c r="AQ5" s="87" t="b">
        <v>0</v>
      </c>
      <c r="AR5" s="87" t="b">
        <v>1</v>
      </c>
      <c r="AS5" s="87"/>
      <c r="AT5" s="87">
        <v>90</v>
      </c>
      <c r="AU5" s="92" t="s">
        <v>286</v>
      </c>
      <c r="AV5" s="87" t="b">
        <v>0</v>
      </c>
      <c r="AW5" s="87" t="s">
        <v>287</v>
      </c>
      <c r="AX5" s="92" t="s">
        <v>290</v>
      </c>
      <c r="AY5" s="87" t="s">
        <v>66</v>
      </c>
      <c r="AZ5" s="87" t="str">
        <f>REPLACE(INDEX(GroupVertices[Group],MATCH(Vertices[[#This Row],[Vertex]],GroupVertices[Vertex],0)),1,1,"")</f>
        <v>1</v>
      </c>
      <c r="BA5" s="2"/>
      <c r="BB5" s="3"/>
      <c r="BC5" s="3"/>
      <c r="BD5" s="3"/>
      <c r="BE5" s="3"/>
    </row>
    <row r="6" spans="1:57" ht="15">
      <c r="A6" s="103" t="s">
        <v>217</v>
      </c>
      <c r="B6" s="104"/>
      <c r="C6" s="104"/>
      <c r="D6" s="105"/>
      <c r="E6" s="106"/>
      <c r="F6" s="119" t="s">
        <v>227</v>
      </c>
      <c r="G6" s="104"/>
      <c r="H6" s="107" t="s">
        <v>217</v>
      </c>
      <c r="I6" s="108"/>
      <c r="J6" s="108"/>
      <c r="K6" s="121" t="s">
        <v>295</v>
      </c>
      <c r="L6" s="109"/>
      <c r="M6" s="110">
        <v>9883.13671875</v>
      </c>
      <c r="N6" s="110">
        <v>9834.54296875</v>
      </c>
      <c r="O6" s="111"/>
      <c r="P6" s="112"/>
      <c r="Q6" s="112"/>
      <c r="R6" s="113"/>
      <c r="S6" s="113"/>
      <c r="T6" s="113"/>
      <c r="U6" s="113"/>
      <c r="V6" s="114"/>
      <c r="W6" s="114"/>
      <c r="X6" s="114"/>
      <c r="Y6" s="114"/>
      <c r="Z6" s="115"/>
      <c r="AA6" s="116">
        <v>6</v>
      </c>
      <c r="AB6" s="116"/>
      <c r="AC6" s="117"/>
      <c r="AD6" s="87" t="s">
        <v>269</v>
      </c>
      <c r="AE6" s="87">
        <v>746</v>
      </c>
      <c r="AF6" s="87">
        <v>576</v>
      </c>
      <c r="AG6" s="87">
        <v>1538</v>
      </c>
      <c r="AH6" s="87">
        <v>5502</v>
      </c>
      <c r="AI6" s="87"/>
      <c r="AJ6" s="87" t="s">
        <v>273</v>
      </c>
      <c r="AK6" s="87" t="s">
        <v>277</v>
      </c>
      <c r="AL6" s="92" t="s">
        <v>281</v>
      </c>
      <c r="AM6" s="87"/>
      <c r="AN6" s="89">
        <v>42612.88079861111</v>
      </c>
      <c r="AO6" s="92" t="s">
        <v>285</v>
      </c>
      <c r="AP6" s="87" t="b">
        <v>0</v>
      </c>
      <c r="AQ6" s="87" t="b">
        <v>0</v>
      </c>
      <c r="AR6" s="87" t="b">
        <v>1</v>
      </c>
      <c r="AS6" s="87"/>
      <c r="AT6" s="87">
        <v>9</v>
      </c>
      <c r="AU6" s="92" t="s">
        <v>286</v>
      </c>
      <c r="AV6" s="87" t="b">
        <v>0</v>
      </c>
      <c r="AW6" s="87" t="s">
        <v>287</v>
      </c>
      <c r="AX6" s="92" t="s">
        <v>291</v>
      </c>
      <c r="AY6" s="87" t="s">
        <v>66</v>
      </c>
      <c r="AZ6" s="87" t="str">
        <f>REPLACE(INDEX(GroupVertices[Group],MATCH(Vertices[[#This Row],[Vertex]],GroupVertices[Vertex],0)),1,1,"")</f>
        <v>1</v>
      </c>
      <c r="BA6" s="2"/>
      <c r="BB6" s="3"/>
      <c r="BC6" s="3"/>
      <c r="BD6" s="3"/>
      <c r="BE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hyperlinks>
    <hyperlink ref="AL3" r:id="rId1" display="http://verosanmedina.wordpress.com/"/>
    <hyperlink ref="AL4" r:id="rId2" display="http://t.co/ZpwZOUcTG0"/>
    <hyperlink ref="AL5" r:id="rId3" display="http://www.oii.ox.ac.uk/people/?id=4"/>
    <hyperlink ref="AL6" r:id="rId4" display="https://t.co/i88DZt7LaQ"/>
    <hyperlink ref="AO3" r:id="rId5" display="https://pbs.twimg.com/profile_banners/296639078/1565622266"/>
    <hyperlink ref="AO4" r:id="rId6" display="https://pbs.twimg.com/profile_banners/49976458/1554998041"/>
    <hyperlink ref="AO5" r:id="rId7" display="https://pbs.twimg.com/profile_banners/57140128/1394641537"/>
    <hyperlink ref="AO6" r:id="rId8" display="https://pbs.twimg.com/profile_banners/770729895374708736/1582661939"/>
    <hyperlink ref="AU3" r:id="rId9" display="http://abs.twimg.com/images/themes/theme1/bg.png"/>
    <hyperlink ref="AU4" r:id="rId10" display="http://abs.twimg.com/images/themes/theme1/bg.png"/>
    <hyperlink ref="AU5" r:id="rId11" display="http://abs.twimg.com/images/themes/theme1/bg.png"/>
    <hyperlink ref="AU6" r:id="rId12" display="http://abs.twimg.com/images/themes/theme1/bg.png"/>
    <hyperlink ref="F3" r:id="rId13" display="http://pbs.twimg.com/profile_images/1224317120563089409/tFenbqZe_normal.jpg"/>
    <hyperlink ref="F4" r:id="rId14" display="http://pbs.twimg.com/profile_images/1002585194250080260/B514BJzf_normal.jpg"/>
    <hyperlink ref="F5" r:id="rId15" display="http://pbs.twimg.com/profile_images/2534760018/dx10cw081qu8u3i5f0pb_normal.jpeg"/>
    <hyperlink ref="F6" r:id="rId16" display="http://pbs.twimg.com/profile_images/1154453407144370177/ke6hZ2in_normal.jpg"/>
    <hyperlink ref="AX3" r:id="rId17" display="https://twitter.com/verosanchez_m"/>
    <hyperlink ref="AX4" r:id="rId18" display="https://twitter.com/oiioxford"/>
    <hyperlink ref="AX5" r:id="rId19" display="https://twitter.com/vickinashoii"/>
    <hyperlink ref="AX6" r:id="rId20" display="https://twitter.com/kolinakoltai"/>
  </hyperlinks>
  <printOptions/>
  <pageMargins left="0.7" right="0.7" top="0.75" bottom="0.75" header="0.3" footer="0.3"/>
  <pageSetup horizontalDpi="600" verticalDpi="600" orientation="portrait" r:id="rId24"/>
  <legacyDrawing r:id="rId22"/>
  <tableParts>
    <tablePart r:id="rId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9" t="s">
        <v>39</v>
      </c>
      <c r="C1" s="70"/>
      <c r="D1" s="70"/>
      <c r="E1" s="71"/>
      <c r="F1" s="68" t="s">
        <v>43</v>
      </c>
      <c r="G1" s="72" t="s">
        <v>44</v>
      </c>
      <c r="H1" s="73"/>
      <c r="I1" s="74" t="s">
        <v>40</v>
      </c>
      <c r="J1" s="75"/>
      <c r="K1" s="76" t="s">
        <v>42</v>
      </c>
      <c r="L1" s="77"/>
      <c r="M1" s="77"/>
      <c r="N1" s="77"/>
      <c r="O1" s="77"/>
      <c r="P1" s="77"/>
      <c r="Q1" s="77"/>
      <c r="R1" s="77"/>
      <c r="S1" s="77"/>
      <c r="T1" s="77"/>
      <c r="U1" s="77"/>
      <c r="V1" s="77"/>
      <c r="W1" s="77"/>
      <c r="X1" s="77"/>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339</v>
      </c>
    </row>
    <row r="3" spans="1:25" ht="15">
      <c r="A3" s="86" t="s">
        <v>334</v>
      </c>
      <c r="B3" s="122" t="s">
        <v>335</v>
      </c>
      <c r="C3" s="122" t="s">
        <v>56</v>
      </c>
      <c r="D3" s="15"/>
      <c r="E3" s="15"/>
      <c r="F3" s="16" t="s">
        <v>334</v>
      </c>
      <c r="G3" s="78"/>
      <c r="H3" s="78"/>
      <c r="I3" s="65">
        <v>3</v>
      </c>
      <c r="J3" s="65"/>
      <c r="K3" s="51">
        <v>4</v>
      </c>
      <c r="L3" s="51">
        <v>6</v>
      </c>
      <c r="M3" s="51">
        <v>0</v>
      </c>
      <c r="N3" s="51">
        <v>6</v>
      </c>
      <c r="O3" s="51">
        <v>0</v>
      </c>
      <c r="P3" s="52">
        <v>0.2</v>
      </c>
      <c r="Q3" s="52">
        <v>0.3333333333333333</v>
      </c>
      <c r="R3" s="51">
        <v>1</v>
      </c>
      <c r="S3" s="51">
        <v>0</v>
      </c>
      <c r="T3" s="51">
        <v>4</v>
      </c>
      <c r="U3" s="51">
        <v>6</v>
      </c>
      <c r="V3" s="51">
        <v>2</v>
      </c>
      <c r="W3" s="52">
        <v>0.875</v>
      </c>
      <c r="X3" s="52">
        <v>0.5</v>
      </c>
      <c r="Y3" s="87" t="s">
        <v>222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7" t="s">
        <v>334</v>
      </c>
      <c r="B2" s="95" t="s">
        <v>217</v>
      </c>
      <c r="C2" s="87">
        <f>VLOOKUP(GroupVertices[[#This Row],[Vertex]],Vertices[],MATCH("ID",Vertices[[#Headers],[Vertex]:[Vertex Group]],0),FALSE)</f>
        <v>6</v>
      </c>
    </row>
    <row r="3" spans="1:3" ht="15">
      <c r="A3" s="87" t="s">
        <v>334</v>
      </c>
      <c r="B3" s="95" t="s">
        <v>215</v>
      </c>
      <c r="C3" s="87">
        <f>VLOOKUP(GroupVertices[[#This Row],[Vertex]],Vertices[],MATCH("ID",Vertices[[#Headers],[Vertex]:[Vertex Group]],0),FALSE)</f>
        <v>5</v>
      </c>
    </row>
    <row r="4" spans="1:3" ht="15">
      <c r="A4" s="87" t="s">
        <v>334</v>
      </c>
      <c r="B4" s="95" t="s">
        <v>216</v>
      </c>
      <c r="C4" s="87">
        <f>VLOOKUP(GroupVertices[[#This Row],[Vertex]],Vertices[],MATCH("ID",Vertices[[#Headers],[Vertex]:[Vertex Group]],0),FALSE)</f>
        <v>4</v>
      </c>
    </row>
    <row r="5" spans="1:3" ht="15">
      <c r="A5" s="87" t="s">
        <v>334</v>
      </c>
      <c r="B5" s="95" t="s">
        <v>214</v>
      </c>
      <c r="C5" s="87">
        <f>VLOOKUP(GroupVertices[[#This Row],[Vertex]],Vertices[],MATCH("ID",Vertices[[#Headers],[Vertex]:[Vertex Group]],0),FALSE)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c r="B2" s="36"/>
      <c r="D2" s="33">
        <f>MIN(Vertices[Degree])</f>
        <v>0</v>
      </c>
      <c r="E2" s="3">
        <f>COUNTIF(Vertices[Degree],"&gt;= "&amp;D2)-COUNTIF(Vertices[Degree],"&gt;="&amp;D3)</f>
        <v>0</v>
      </c>
      <c r="F2" s="39">
        <f>MIN(Vertices[In-Degree])</f>
        <v>0</v>
      </c>
      <c r="G2" s="40">
        <f>COUNTIF(Vertices[In-Degree],"&gt;= "&amp;F2)-COUNTIF(Vertices[In-Degree],"&gt;="&amp;F3)</f>
        <v>0</v>
      </c>
      <c r="H2" s="39">
        <f>MIN(Vertices[Out-Degree])</f>
        <v>0</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0</v>
      </c>
      <c r="N2" s="39">
        <f>MIN(Vertices[Eigenvector Centrality])</f>
        <v>0</v>
      </c>
      <c r="O2" s="40">
        <f>COUNTIF(Vertices[Eigenvector Centrality],"&gt;= "&amp;N2)-COUNTIF(Vertices[Eigenvector Centrality],"&gt;="&amp;N3)</f>
        <v>0</v>
      </c>
      <c r="P2" s="39">
        <f>MIN(Vertices[PageRank])</f>
        <v>0</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36"/>
      <c r="B3" s="36"/>
      <c r="D3" s="34">
        <f aca="true" t="shared" si="1" ref="D3:D26">D2+($D$50-$D$2)/BinDivisor</f>
        <v>0</v>
      </c>
      <c r="E3" s="3">
        <f>COUNTIF(Vertices[Degree],"&gt;= "&amp;D3)-COUNTIF(Vertices[Degree],"&gt;="&amp;D4)</f>
        <v>0</v>
      </c>
      <c r="F3" s="41">
        <f aca="true" t="shared" si="2" ref="F3:F26">F2+($F$50-$F$2)/BinDivisor</f>
        <v>0</v>
      </c>
      <c r="G3" s="42">
        <f>COUNTIF(Vertices[In-Degree],"&gt;= "&amp;F3)-COUNTIF(Vertices[In-Degree],"&gt;="&amp;F4)</f>
        <v>0</v>
      </c>
      <c r="H3" s="41">
        <f aca="true" t="shared" si="3" ref="H3:H26">H2+($H$50-$H$2)/BinDivisor</f>
        <v>0</v>
      </c>
      <c r="I3" s="42">
        <f>COUNTIF(Vertices[Out-Degree],"&gt;= "&amp;H3)-COUNTIF(Vertices[Out-Degree],"&gt;="&amp;H4)</f>
        <v>0</v>
      </c>
      <c r="J3" s="41">
        <f aca="true" t="shared" si="4" ref="J3:J26">J2+($J$50-$J$2)/BinDivisor</f>
        <v>0</v>
      </c>
      <c r="K3" s="42">
        <f>COUNTIF(Vertices[Betweenness Centrality],"&gt;= "&amp;J3)-COUNTIF(Vertices[Betweenness Centrality],"&gt;="&amp;J4)</f>
        <v>0</v>
      </c>
      <c r="L3" s="41">
        <f aca="true" t="shared" si="5" ref="L3:L26">L2+($L$50-$L$2)/BinDivisor</f>
        <v>0</v>
      </c>
      <c r="M3" s="42">
        <f>COUNTIF(Vertices[Closeness Centrality],"&gt;= "&amp;L3)-COUNTIF(Vertices[Closeness Centrality],"&gt;="&amp;L4)</f>
        <v>0</v>
      </c>
      <c r="N3" s="41">
        <f aca="true" t="shared" si="6" ref="N3:N26">N2+($N$50-$N$2)/BinDivisor</f>
        <v>0</v>
      </c>
      <c r="O3" s="42">
        <f>COUNTIF(Vertices[Eigenvector Centrality],"&gt;= "&amp;N3)-COUNTIF(Vertices[Eigenvector Centrality],"&gt;="&amp;N4)</f>
        <v>0</v>
      </c>
      <c r="P3" s="41">
        <f aca="true" t="shared" si="7" ref="P3:P26">P2+($P$50-$P$2)/BinDivisor</f>
        <v>0</v>
      </c>
      <c r="Q3" s="42">
        <f>COUNTIF(Vertices[PageRank],"&gt;= "&amp;P3)-COUNTIF(Vertices[PageRank],"&gt;="&amp;P4)</f>
        <v>0</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c r="B4" s="36"/>
      <c r="D4" s="34">
        <f t="shared" si="1"/>
        <v>0</v>
      </c>
      <c r="E4" s="3">
        <f>COUNTIF(Vertices[Degree],"&gt;= "&amp;D4)-COUNTIF(Vertices[Degree],"&gt;="&amp;D5)</f>
        <v>0</v>
      </c>
      <c r="F4" s="39">
        <f t="shared" si="2"/>
        <v>0</v>
      </c>
      <c r="G4" s="40">
        <f>COUNTIF(Vertices[In-Degree],"&gt;= "&amp;F4)-COUNTIF(Vertices[In-Degree],"&gt;="&amp;F5)</f>
        <v>0</v>
      </c>
      <c r="H4" s="39">
        <f t="shared" si="3"/>
        <v>0</v>
      </c>
      <c r="I4" s="40">
        <f>COUNTIF(Vertices[Out-Degree],"&gt;= "&amp;H4)-COUNTIF(Vertices[Out-Degree],"&gt;="&amp;H5)</f>
        <v>0</v>
      </c>
      <c r="J4" s="39">
        <f t="shared" si="4"/>
        <v>0</v>
      </c>
      <c r="K4" s="40">
        <f>COUNTIF(Vertices[Betweenness Centrality],"&gt;= "&amp;J4)-COUNTIF(Vertices[Betweenness Centrality],"&gt;="&amp;J5)</f>
        <v>0</v>
      </c>
      <c r="L4" s="39">
        <f t="shared" si="5"/>
        <v>0</v>
      </c>
      <c r="M4" s="40">
        <f>COUNTIF(Vertices[Closeness Centrality],"&gt;= "&amp;L4)-COUNTIF(Vertices[Closeness Centrality],"&gt;="&amp;L5)</f>
        <v>0</v>
      </c>
      <c r="N4" s="39">
        <f t="shared" si="6"/>
        <v>0</v>
      </c>
      <c r="O4" s="40">
        <f>COUNTIF(Vertices[Eigenvector Centrality],"&gt;= "&amp;N4)-COUNTIF(Vertices[Eigenvector Centrality],"&gt;="&amp;N5)</f>
        <v>0</v>
      </c>
      <c r="P4" s="39">
        <f t="shared" si="7"/>
        <v>0</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36"/>
      <c r="B5" s="36"/>
      <c r="D5" s="34">
        <f t="shared" si="1"/>
        <v>0</v>
      </c>
      <c r="E5" s="3">
        <f>COUNTIF(Vertices[Degree],"&gt;= "&amp;D5)-COUNTIF(Vertices[Degree],"&gt;="&amp;D6)</f>
        <v>0</v>
      </c>
      <c r="F5" s="41">
        <f t="shared" si="2"/>
        <v>0</v>
      </c>
      <c r="G5" s="42">
        <f>COUNTIF(Vertices[In-Degree],"&gt;= "&amp;F5)-COUNTIF(Vertices[In-Degree],"&gt;="&amp;F6)</f>
        <v>0</v>
      </c>
      <c r="H5" s="41">
        <f t="shared" si="3"/>
        <v>0</v>
      </c>
      <c r="I5" s="42">
        <f>COUNTIF(Vertices[Out-Degree],"&gt;= "&amp;H5)-COUNTIF(Vertices[Out-Degree],"&gt;="&amp;H6)</f>
        <v>0</v>
      </c>
      <c r="J5" s="41">
        <f t="shared" si="4"/>
        <v>0</v>
      </c>
      <c r="K5" s="42">
        <f>COUNTIF(Vertices[Betweenness Centrality],"&gt;= "&amp;J5)-COUNTIF(Vertices[Betweenness Centrality],"&gt;="&amp;J6)</f>
        <v>0</v>
      </c>
      <c r="L5" s="41">
        <f t="shared" si="5"/>
        <v>0</v>
      </c>
      <c r="M5" s="42">
        <f>COUNTIF(Vertices[Closeness Centrality],"&gt;= "&amp;L5)-COUNTIF(Vertices[Closeness Centrality],"&gt;="&amp;L6)</f>
        <v>0</v>
      </c>
      <c r="N5" s="41">
        <f t="shared" si="6"/>
        <v>0</v>
      </c>
      <c r="O5" s="42">
        <f>COUNTIF(Vertices[Eigenvector Centrality],"&gt;= "&amp;N5)-COUNTIF(Vertices[Eigenvector Centrality],"&gt;="&amp;N6)</f>
        <v>0</v>
      </c>
      <c r="P5" s="41">
        <f t="shared" si="7"/>
        <v>0</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c r="B6" s="36"/>
      <c r="D6" s="34">
        <f t="shared" si="1"/>
        <v>0</v>
      </c>
      <c r="E6" s="3">
        <f>COUNTIF(Vertices[Degree],"&gt;= "&amp;D6)-COUNTIF(Vertices[Degree],"&gt;="&amp;D7)</f>
        <v>0</v>
      </c>
      <c r="F6" s="39">
        <f t="shared" si="2"/>
        <v>0</v>
      </c>
      <c r="G6" s="40">
        <f>COUNTIF(Vertices[In-Degree],"&gt;= "&amp;F6)-COUNTIF(Vertices[In-Degree],"&gt;="&amp;F7)</f>
        <v>0</v>
      </c>
      <c r="H6" s="39">
        <f t="shared" si="3"/>
        <v>0</v>
      </c>
      <c r="I6" s="40">
        <f>COUNTIF(Vertices[Out-Degree],"&gt;= "&amp;H6)-COUNTIF(Vertices[Out-Degree],"&gt;="&amp;H7)</f>
        <v>0</v>
      </c>
      <c r="J6" s="39">
        <f t="shared" si="4"/>
        <v>0</v>
      </c>
      <c r="K6" s="40">
        <f>COUNTIF(Vertices[Betweenness Centrality],"&gt;= "&amp;J6)-COUNTIF(Vertices[Betweenness Centrality],"&gt;="&amp;J7)</f>
        <v>0</v>
      </c>
      <c r="L6" s="39">
        <f t="shared" si="5"/>
        <v>0</v>
      </c>
      <c r="M6" s="40">
        <f>COUNTIF(Vertices[Closeness Centrality],"&gt;= "&amp;L6)-COUNTIF(Vertices[Closeness Centrality],"&gt;="&amp;L7)</f>
        <v>0</v>
      </c>
      <c r="N6" s="39">
        <f t="shared" si="6"/>
        <v>0</v>
      </c>
      <c r="O6" s="40">
        <f>COUNTIF(Vertices[Eigenvector Centrality],"&gt;= "&amp;N6)-COUNTIF(Vertices[Eigenvector Centrality],"&gt;="&amp;N7)</f>
        <v>0</v>
      </c>
      <c r="P6" s="39">
        <f t="shared" si="7"/>
        <v>0</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c r="B7" s="36"/>
      <c r="D7" s="34">
        <f t="shared" si="1"/>
        <v>0</v>
      </c>
      <c r="E7" s="3">
        <f>COUNTIF(Vertices[Degree],"&gt;= "&amp;D7)-COUNTIF(Vertices[Degree],"&gt;="&amp;D8)</f>
        <v>0</v>
      </c>
      <c r="F7" s="41">
        <f t="shared" si="2"/>
        <v>0</v>
      </c>
      <c r="G7" s="42">
        <f>COUNTIF(Vertices[In-Degree],"&gt;= "&amp;F7)-COUNTIF(Vertices[In-Degree],"&gt;="&amp;F8)</f>
        <v>0</v>
      </c>
      <c r="H7" s="41">
        <f t="shared" si="3"/>
        <v>0</v>
      </c>
      <c r="I7" s="42">
        <f>COUNTIF(Vertices[Out-Degree],"&gt;= "&amp;H7)-COUNTIF(Vertices[Out-Degree],"&gt;="&amp;H8)</f>
        <v>0</v>
      </c>
      <c r="J7" s="41">
        <f t="shared" si="4"/>
        <v>0</v>
      </c>
      <c r="K7" s="42">
        <f>COUNTIF(Vertices[Betweenness Centrality],"&gt;= "&amp;J7)-COUNTIF(Vertices[Betweenness Centrality],"&gt;="&amp;J8)</f>
        <v>0</v>
      </c>
      <c r="L7" s="41">
        <f t="shared" si="5"/>
        <v>0</v>
      </c>
      <c r="M7" s="42">
        <f>COUNTIF(Vertices[Closeness Centrality],"&gt;= "&amp;L7)-COUNTIF(Vertices[Closeness Centrality],"&gt;="&amp;L8)</f>
        <v>0</v>
      </c>
      <c r="N7" s="41">
        <f t="shared" si="6"/>
        <v>0</v>
      </c>
      <c r="O7" s="42">
        <f>COUNTIF(Vertices[Eigenvector Centrality],"&gt;= "&amp;N7)-COUNTIF(Vertices[Eigenvector Centrality],"&gt;="&amp;N8)</f>
        <v>0</v>
      </c>
      <c r="P7" s="41">
        <f t="shared" si="7"/>
        <v>0</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c r="B8" s="36"/>
      <c r="D8" s="34">
        <f t="shared" si="1"/>
        <v>0</v>
      </c>
      <c r="E8" s="3">
        <f>COUNTIF(Vertices[Degree],"&gt;= "&amp;D8)-COUNTIF(Vertices[Degree],"&gt;="&amp;D9)</f>
        <v>0</v>
      </c>
      <c r="F8" s="39">
        <f t="shared" si="2"/>
        <v>0</v>
      </c>
      <c r="G8" s="40">
        <f>COUNTIF(Vertices[In-Degree],"&gt;= "&amp;F8)-COUNTIF(Vertices[In-Degree],"&gt;="&amp;F9)</f>
        <v>0</v>
      </c>
      <c r="H8" s="39">
        <f t="shared" si="3"/>
        <v>0</v>
      </c>
      <c r="I8" s="40">
        <f>COUNTIF(Vertices[Out-Degree],"&gt;= "&amp;H8)-COUNTIF(Vertices[Out-Degree],"&gt;="&amp;H9)</f>
        <v>0</v>
      </c>
      <c r="J8" s="39">
        <f t="shared" si="4"/>
        <v>0</v>
      </c>
      <c r="K8" s="40">
        <f>COUNTIF(Vertices[Betweenness Centrality],"&gt;= "&amp;J8)-COUNTIF(Vertices[Betweenness Centrality],"&gt;="&amp;J9)</f>
        <v>0</v>
      </c>
      <c r="L8" s="39">
        <f t="shared" si="5"/>
        <v>0</v>
      </c>
      <c r="M8" s="40">
        <f>COUNTIF(Vertices[Closeness Centrality],"&gt;= "&amp;L8)-COUNTIF(Vertices[Closeness Centrality],"&gt;="&amp;L9)</f>
        <v>0</v>
      </c>
      <c r="N8" s="39">
        <f t="shared" si="6"/>
        <v>0</v>
      </c>
      <c r="O8" s="40">
        <f>COUNTIF(Vertices[Eigenvector Centrality],"&gt;= "&amp;N8)-COUNTIF(Vertices[Eigenvector Centrality],"&gt;="&amp;N9)</f>
        <v>0</v>
      </c>
      <c r="P8" s="39">
        <f t="shared" si="7"/>
        <v>0</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36"/>
      <c r="B9" s="36"/>
      <c r="D9" s="34">
        <f t="shared" si="1"/>
        <v>0</v>
      </c>
      <c r="E9" s="3">
        <f>COUNTIF(Vertices[Degree],"&gt;= "&amp;D9)-COUNTIF(Vertices[Degree],"&gt;="&amp;D10)</f>
        <v>0</v>
      </c>
      <c r="F9" s="41">
        <f t="shared" si="2"/>
        <v>0</v>
      </c>
      <c r="G9" s="42">
        <f>COUNTIF(Vertices[In-Degree],"&gt;= "&amp;F9)-COUNTIF(Vertices[In-Degree],"&gt;="&amp;F10)</f>
        <v>0</v>
      </c>
      <c r="H9" s="41">
        <f t="shared" si="3"/>
        <v>0</v>
      </c>
      <c r="I9" s="42">
        <f>COUNTIF(Vertices[Out-Degree],"&gt;= "&amp;H9)-COUNTIF(Vertices[Out-Degree],"&gt;="&amp;H10)</f>
        <v>0</v>
      </c>
      <c r="J9" s="41">
        <f t="shared" si="4"/>
        <v>0</v>
      </c>
      <c r="K9" s="42">
        <f>COUNTIF(Vertices[Betweenness Centrality],"&gt;= "&amp;J9)-COUNTIF(Vertices[Betweenness Centrality],"&gt;="&amp;J10)</f>
        <v>0</v>
      </c>
      <c r="L9" s="41">
        <f t="shared" si="5"/>
        <v>0</v>
      </c>
      <c r="M9" s="42">
        <f>COUNTIF(Vertices[Closeness Centrality],"&gt;= "&amp;L9)-COUNTIF(Vertices[Closeness Centrality],"&gt;="&amp;L10)</f>
        <v>0</v>
      </c>
      <c r="N9" s="41">
        <f t="shared" si="6"/>
        <v>0</v>
      </c>
      <c r="O9" s="42">
        <f>COUNTIF(Vertices[Eigenvector Centrality],"&gt;= "&amp;N9)-COUNTIF(Vertices[Eigenvector Centrality],"&gt;="&amp;N10)</f>
        <v>0</v>
      </c>
      <c r="P9" s="41">
        <f t="shared" si="7"/>
        <v>0</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c r="B10" s="36"/>
      <c r="D10" s="34">
        <f t="shared" si="1"/>
        <v>0</v>
      </c>
      <c r="E10" s="3">
        <f>COUNTIF(Vertices[Degree],"&gt;= "&amp;D10)-COUNTIF(Vertices[Degree],"&gt;="&amp;D11)</f>
        <v>0</v>
      </c>
      <c r="F10" s="39">
        <f t="shared" si="2"/>
        <v>0</v>
      </c>
      <c r="G10" s="40">
        <f>COUNTIF(Vertices[In-Degree],"&gt;= "&amp;F10)-COUNTIF(Vertices[In-Degree],"&gt;="&amp;F11)</f>
        <v>0</v>
      </c>
      <c r="H10" s="39">
        <f t="shared" si="3"/>
        <v>0</v>
      </c>
      <c r="I10" s="40">
        <f>COUNTIF(Vertices[Out-Degree],"&gt;= "&amp;H10)-COUNTIF(Vertices[Out-Degree],"&gt;="&amp;H11)</f>
        <v>0</v>
      </c>
      <c r="J10" s="39">
        <f t="shared" si="4"/>
        <v>0</v>
      </c>
      <c r="K10" s="40">
        <f>COUNTIF(Vertices[Betweenness Centrality],"&gt;= "&amp;J10)-COUNTIF(Vertices[Betweenness Centrality],"&gt;="&amp;J11)</f>
        <v>0</v>
      </c>
      <c r="L10" s="39">
        <f t="shared" si="5"/>
        <v>0</v>
      </c>
      <c r="M10" s="40">
        <f>COUNTIF(Vertices[Closeness Centrality],"&gt;= "&amp;L10)-COUNTIF(Vertices[Closeness Centrality],"&gt;="&amp;L11)</f>
        <v>0</v>
      </c>
      <c r="N10" s="39">
        <f t="shared" si="6"/>
        <v>0</v>
      </c>
      <c r="O10" s="40">
        <f>COUNTIF(Vertices[Eigenvector Centrality],"&gt;= "&amp;N10)-COUNTIF(Vertices[Eigenvector Centrality],"&gt;="&amp;N11)</f>
        <v>0</v>
      </c>
      <c r="P10" s="39">
        <f t="shared" si="7"/>
        <v>0</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36"/>
      <c r="B11" s="36"/>
      <c r="D11" s="34">
        <f t="shared" si="1"/>
        <v>0</v>
      </c>
      <c r="E11" s="3">
        <f>COUNTIF(Vertices[Degree],"&gt;= "&amp;D11)-COUNTIF(Vertices[Degree],"&gt;="&amp;D12)</f>
        <v>0</v>
      </c>
      <c r="F11" s="41">
        <f t="shared" si="2"/>
        <v>0</v>
      </c>
      <c r="G11" s="42">
        <f>COUNTIF(Vertices[In-Degree],"&gt;= "&amp;F11)-COUNTIF(Vertices[In-Degree],"&gt;="&amp;F12)</f>
        <v>0</v>
      </c>
      <c r="H11" s="41">
        <f t="shared" si="3"/>
        <v>0</v>
      </c>
      <c r="I11" s="42">
        <f>COUNTIF(Vertices[Out-Degree],"&gt;= "&amp;H11)-COUNTIF(Vertices[Out-Degree],"&gt;="&amp;H12)</f>
        <v>0</v>
      </c>
      <c r="J11" s="41">
        <f t="shared" si="4"/>
        <v>0</v>
      </c>
      <c r="K11" s="42">
        <f>COUNTIF(Vertices[Betweenness Centrality],"&gt;= "&amp;J11)-COUNTIF(Vertices[Betweenness Centrality],"&gt;="&amp;J12)</f>
        <v>0</v>
      </c>
      <c r="L11" s="41">
        <f t="shared" si="5"/>
        <v>0</v>
      </c>
      <c r="M11" s="42">
        <f>COUNTIF(Vertices[Closeness Centrality],"&gt;= "&amp;L11)-COUNTIF(Vertices[Closeness Centrality],"&gt;="&amp;L12)</f>
        <v>0</v>
      </c>
      <c r="N11" s="41">
        <f t="shared" si="6"/>
        <v>0</v>
      </c>
      <c r="O11" s="42">
        <f>COUNTIF(Vertices[Eigenvector Centrality],"&gt;= "&amp;N11)-COUNTIF(Vertices[Eigenvector Centrality],"&gt;="&amp;N12)</f>
        <v>0</v>
      </c>
      <c r="P11" s="41">
        <f t="shared" si="7"/>
        <v>0</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c r="B12" s="36"/>
      <c r="D12" s="34">
        <f t="shared" si="1"/>
        <v>0</v>
      </c>
      <c r="E12" s="3">
        <f>COUNTIF(Vertices[Degree],"&gt;= "&amp;D12)-COUNTIF(Vertices[Degree],"&gt;="&amp;D13)</f>
        <v>0</v>
      </c>
      <c r="F12" s="39">
        <f t="shared" si="2"/>
        <v>0</v>
      </c>
      <c r="G12" s="40">
        <f>COUNTIF(Vertices[In-Degree],"&gt;= "&amp;F12)-COUNTIF(Vertices[In-Degree],"&gt;="&amp;F13)</f>
        <v>0</v>
      </c>
      <c r="H12" s="39">
        <f t="shared" si="3"/>
        <v>0</v>
      </c>
      <c r="I12" s="40">
        <f>COUNTIF(Vertices[Out-Degree],"&gt;= "&amp;H12)-COUNTIF(Vertices[Out-Degree],"&gt;="&amp;H13)</f>
        <v>0</v>
      </c>
      <c r="J12" s="39">
        <f t="shared" si="4"/>
        <v>0</v>
      </c>
      <c r="K12" s="40">
        <f>COUNTIF(Vertices[Betweenness Centrality],"&gt;= "&amp;J12)-COUNTIF(Vertices[Betweenness Centrality],"&gt;="&amp;J13)</f>
        <v>0</v>
      </c>
      <c r="L12" s="39">
        <f t="shared" si="5"/>
        <v>0</v>
      </c>
      <c r="M12" s="40">
        <f>COUNTIF(Vertices[Closeness Centrality],"&gt;= "&amp;L12)-COUNTIF(Vertices[Closeness Centrality],"&gt;="&amp;L13)</f>
        <v>0</v>
      </c>
      <c r="N12" s="39">
        <f t="shared" si="6"/>
        <v>0</v>
      </c>
      <c r="O12" s="40">
        <f>COUNTIF(Vertices[Eigenvector Centrality],"&gt;= "&amp;N12)-COUNTIF(Vertices[Eigenvector Centrality],"&gt;="&amp;N13)</f>
        <v>0</v>
      </c>
      <c r="P12" s="39">
        <f t="shared" si="7"/>
        <v>0</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c r="B13" s="36"/>
      <c r="D13" s="34">
        <f t="shared" si="1"/>
        <v>0</v>
      </c>
      <c r="E13" s="3">
        <f>COUNTIF(Vertices[Degree],"&gt;= "&amp;D13)-COUNTIF(Vertices[Degree],"&gt;="&amp;D14)</f>
        <v>0</v>
      </c>
      <c r="F13" s="41">
        <f t="shared" si="2"/>
        <v>0</v>
      </c>
      <c r="G13" s="42">
        <f>COUNTIF(Vertices[In-Degree],"&gt;= "&amp;F13)-COUNTIF(Vertices[In-Degree],"&gt;="&amp;F14)</f>
        <v>0</v>
      </c>
      <c r="H13" s="41">
        <f t="shared" si="3"/>
        <v>0</v>
      </c>
      <c r="I13" s="42">
        <f>COUNTIF(Vertices[Out-Degree],"&gt;= "&amp;H13)-COUNTIF(Vertices[Out-Degree],"&gt;="&amp;H14)</f>
        <v>0</v>
      </c>
      <c r="J13" s="41">
        <f t="shared" si="4"/>
        <v>0</v>
      </c>
      <c r="K13" s="42">
        <f>COUNTIF(Vertices[Betweenness Centrality],"&gt;= "&amp;J13)-COUNTIF(Vertices[Betweenness Centrality],"&gt;="&amp;J14)</f>
        <v>0</v>
      </c>
      <c r="L13" s="41">
        <f t="shared" si="5"/>
        <v>0</v>
      </c>
      <c r="M13" s="42">
        <f>COUNTIF(Vertices[Closeness Centrality],"&gt;= "&amp;L13)-COUNTIF(Vertices[Closeness Centrality],"&gt;="&amp;L14)</f>
        <v>0</v>
      </c>
      <c r="N13" s="41">
        <f t="shared" si="6"/>
        <v>0</v>
      </c>
      <c r="O13" s="42">
        <f>COUNTIF(Vertices[Eigenvector Centrality],"&gt;= "&amp;N13)-COUNTIF(Vertices[Eigenvector Centrality],"&gt;="&amp;N14)</f>
        <v>0</v>
      </c>
      <c r="P13" s="41">
        <f t="shared" si="7"/>
        <v>0</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c r="B14" s="36"/>
      <c r="D14" s="34">
        <f t="shared" si="1"/>
        <v>0</v>
      </c>
      <c r="E14" s="3">
        <f>COUNTIF(Vertices[Degree],"&gt;= "&amp;D14)-COUNTIF(Vertices[Degree],"&gt;="&amp;D15)</f>
        <v>0</v>
      </c>
      <c r="F14" s="39">
        <f t="shared" si="2"/>
        <v>0</v>
      </c>
      <c r="G14" s="40">
        <f>COUNTIF(Vertices[In-Degree],"&gt;= "&amp;F14)-COUNTIF(Vertices[In-Degree],"&gt;="&amp;F15)</f>
        <v>0</v>
      </c>
      <c r="H14" s="39">
        <f t="shared" si="3"/>
        <v>0</v>
      </c>
      <c r="I14" s="40">
        <f>COUNTIF(Vertices[Out-Degree],"&gt;= "&amp;H14)-COUNTIF(Vertices[Out-Degree],"&gt;="&amp;H15)</f>
        <v>0</v>
      </c>
      <c r="J14" s="39">
        <f t="shared" si="4"/>
        <v>0</v>
      </c>
      <c r="K14" s="40">
        <f>COUNTIF(Vertices[Betweenness Centrality],"&gt;= "&amp;J14)-COUNTIF(Vertices[Betweenness Centrality],"&gt;="&amp;J15)</f>
        <v>0</v>
      </c>
      <c r="L14" s="39">
        <f t="shared" si="5"/>
        <v>0</v>
      </c>
      <c r="M14" s="40">
        <f>COUNTIF(Vertices[Closeness Centrality],"&gt;= "&amp;L14)-COUNTIF(Vertices[Closeness Centrality],"&gt;="&amp;L15)</f>
        <v>0</v>
      </c>
      <c r="N14" s="39">
        <f t="shared" si="6"/>
        <v>0</v>
      </c>
      <c r="O14" s="40">
        <f>COUNTIF(Vertices[Eigenvector Centrality],"&gt;= "&amp;N14)-COUNTIF(Vertices[Eigenvector Centrality],"&gt;="&amp;N15)</f>
        <v>0</v>
      </c>
      <c r="P14" s="39">
        <f t="shared" si="7"/>
        <v>0</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c r="B15" s="36"/>
      <c r="D15" s="34">
        <f t="shared" si="1"/>
        <v>0</v>
      </c>
      <c r="E15" s="3">
        <f>COUNTIF(Vertices[Degree],"&gt;= "&amp;D15)-COUNTIF(Vertices[Degree],"&gt;="&amp;D16)</f>
        <v>0</v>
      </c>
      <c r="F15" s="41">
        <f t="shared" si="2"/>
        <v>0</v>
      </c>
      <c r="G15" s="42">
        <f>COUNTIF(Vertices[In-Degree],"&gt;= "&amp;F15)-COUNTIF(Vertices[In-Degree],"&gt;="&amp;F16)</f>
        <v>0</v>
      </c>
      <c r="H15" s="41">
        <f t="shared" si="3"/>
        <v>0</v>
      </c>
      <c r="I15" s="42">
        <f>COUNTIF(Vertices[Out-Degree],"&gt;= "&amp;H15)-COUNTIF(Vertices[Out-Degree],"&gt;="&amp;H16)</f>
        <v>0</v>
      </c>
      <c r="J15" s="41">
        <f t="shared" si="4"/>
        <v>0</v>
      </c>
      <c r="K15" s="42">
        <f>COUNTIF(Vertices[Betweenness Centrality],"&gt;= "&amp;J15)-COUNTIF(Vertices[Betweenness Centrality],"&gt;="&amp;J16)</f>
        <v>0</v>
      </c>
      <c r="L15" s="41">
        <f t="shared" si="5"/>
        <v>0</v>
      </c>
      <c r="M15" s="42">
        <f>COUNTIF(Vertices[Closeness Centrality],"&gt;= "&amp;L15)-COUNTIF(Vertices[Closeness Centrality],"&gt;="&amp;L16)</f>
        <v>0</v>
      </c>
      <c r="N15" s="41">
        <f t="shared" si="6"/>
        <v>0</v>
      </c>
      <c r="O15" s="42">
        <f>COUNTIF(Vertices[Eigenvector Centrality],"&gt;= "&amp;N15)-COUNTIF(Vertices[Eigenvector Centrality],"&gt;="&amp;N16)</f>
        <v>0</v>
      </c>
      <c r="P15" s="41">
        <f t="shared" si="7"/>
        <v>0</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c r="B16" s="36"/>
      <c r="D16" s="34">
        <f t="shared" si="1"/>
        <v>0</v>
      </c>
      <c r="E16" s="3">
        <f>COUNTIF(Vertices[Degree],"&gt;= "&amp;D16)-COUNTIF(Vertices[Degree],"&gt;="&amp;D17)</f>
        <v>0</v>
      </c>
      <c r="F16" s="39">
        <f t="shared" si="2"/>
        <v>0</v>
      </c>
      <c r="G16" s="40">
        <f>COUNTIF(Vertices[In-Degree],"&gt;= "&amp;F16)-COUNTIF(Vertices[In-Degree],"&gt;="&amp;F17)</f>
        <v>0</v>
      </c>
      <c r="H16" s="39">
        <f t="shared" si="3"/>
        <v>0</v>
      </c>
      <c r="I16" s="40">
        <f>COUNTIF(Vertices[Out-Degree],"&gt;= "&amp;H16)-COUNTIF(Vertices[Out-Degree],"&gt;="&amp;H17)</f>
        <v>0</v>
      </c>
      <c r="J16" s="39">
        <f t="shared" si="4"/>
        <v>0</v>
      </c>
      <c r="K16" s="40">
        <f>COUNTIF(Vertices[Betweenness Centrality],"&gt;= "&amp;J16)-COUNTIF(Vertices[Betweenness Centrality],"&gt;="&amp;J17)</f>
        <v>0</v>
      </c>
      <c r="L16" s="39">
        <f t="shared" si="5"/>
        <v>0</v>
      </c>
      <c r="M16" s="40">
        <f>COUNTIF(Vertices[Closeness Centrality],"&gt;= "&amp;L16)-COUNTIF(Vertices[Closeness Centrality],"&gt;="&amp;L17)</f>
        <v>0</v>
      </c>
      <c r="N16" s="39">
        <f t="shared" si="6"/>
        <v>0</v>
      </c>
      <c r="O16" s="40">
        <f>COUNTIF(Vertices[Eigenvector Centrality],"&gt;= "&amp;N16)-COUNTIF(Vertices[Eigenvector Centrality],"&gt;="&amp;N17)</f>
        <v>0</v>
      </c>
      <c r="P16" s="39">
        <f t="shared" si="7"/>
        <v>0</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c r="B17" s="36"/>
      <c r="D17" s="34">
        <f t="shared" si="1"/>
        <v>0</v>
      </c>
      <c r="E17" s="3">
        <f>COUNTIF(Vertices[Degree],"&gt;= "&amp;D17)-COUNTIF(Vertices[Degree],"&gt;="&amp;D18)</f>
        <v>0</v>
      </c>
      <c r="F17" s="41">
        <f t="shared" si="2"/>
        <v>0</v>
      </c>
      <c r="G17" s="42">
        <f>COUNTIF(Vertices[In-Degree],"&gt;= "&amp;F17)-COUNTIF(Vertices[In-Degree],"&gt;="&amp;F18)</f>
        <v>0</v>
      </c>
      <c r="H17" s="41">
        <f t="shared" si="3"/>
        <v>0</v>
      </c>
      <c r="I17" s="42">
        <f>COUNTIF(Vertices[Out-Degree],"&gt;= "&amp;H17)-COUNTIF(Vertices[Out-Degree],"&gt;="&amp;H18)</f>
        <v>0</v>
      </c>
      <c r="J17" s="41">
        <f t="shared" si="4"/>
        <v>0</v>
      </c>
      <c r="K17" s="42">
        <f>COUNTIF(Vertices[Betweenness Centrality],"&gt;= "&amp;J17)-COUNTIF(Vertices[Betweenness Centrality],"&gt;="&amp;J18)</f>
        <v>0</v>
      </c>
      <c r="L17" s="41">
        <f t="shared" si="5"/>
        <v>0</v>
      </c>
      <c r="M17" s="42">
        <f>COUNTIF(Vertices[Closeness Centrality],"&gt;= "&amp;L17)-COUNTIF(Vertices[Closeness Centrality],"&gt;="&amp;L18)</f>
        <v>0</v>
      </c>
      <c r="N17" s="41">
        <f t="shared" si="6"/>
        <v>0</v>
      </c>
      <c r="O17" s="42">
        <f>COUNTIF(Vertices[Eigenvector Centrality],"&gt;= "&amp;N17)-COUNTIF(Vertices[Eigenvector Centrality],"&gt;="&amp;N18)</f>
        <v>0</v>
      </c>
      <c r="P17" s="41">
        <f t="shared" si="7"/>
        <v>0</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c r="B18" s="36"/>
      <c r="D18" s="34">
        <f t="shared" si="1"/>
        <v>0</v>
      </c>
      <c r="E18" s="3">
        <f>COUNTIF(Vertices[Degree],"&gt;= "&amp;D18)-COUNTIF(Vertices[Degree],"&gt;="&amp;D19)</f>
        <v>0</v>
      </c>
      <c r="F18" s="39">
        <f t="shared" si="2"/>
        <v>0</v>
      </c>
      <c r="G18" s="40">
        <f>COUNTIF(Vertices[In-Degree],"&gt;= "&amp;F18)-COUNTIF(Vertices[In-Degree],"&gt;="&amp;F19)</f>
        <v>0</v>
      </c>
      <c r="H18" s="39">
        <f t="shared" si="3"/>
        <v>0</v>
      </c>
      <c r="I18" s="40">
        <f>COUNTIF(Vertices[Out-Degree],"&gt;= "&amp;H18)-COUNTIF(Vertices[Out-Degree],"&gt;="&amp;H19)</f>
        <v>0</v>
      </c>
      <c r="J18" s="39">
        <f t="shared" si="4"/>
        <v>0</v>
      </c>
      <c r="K18" s="40">
        <f>COUNTIF(Vertices[Betweenness Centrality],"&gt;= "&amp;J18)-COUNTIF(Vertices[Betweenness Centrality],"&gt;="&amp;J19)</f>
        <v>0</v>
      </c>
      <c r="L18" s="39">
        <f t="shared" si="5"/>
        <v>0</v>
      </c>
      <c r="M18" s="40">
        <f>COUNTIF(Vertices[Closeness Centrality],"&gt;= "&amp;L18)-COUNTIF(Vertices[Closeness Centrality],"&gt;="&amp;L19)</f>
        <v>0</v>
      </c>
      <c r="N18" s="39">
        <f t="shared" si="6"/>
        <v>0</v>
      </c>
      <c r="O18" s="40">
        <f>COUNTIF(Vertices[Eigenvector Centrality],"&gt;= "&amp;N18)-COUNTIF(Vertices[Eigenvector Centrality],"&gt;="&amp;N19)</f>
        <v>0</v>
      </c>
      <c r="P18" s="39">
        <f t="shared" si="7"/>
        <v>0</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c r="B19" s="36"/>
      <c r="D19" s="34">
        <f t="shared" si="1"/>
        <v>0</v>
      </c>
      <c r="E19" s="3">
        <f>COUNTIF(Vertices[Degree],"&gt;= "&amp;D19)-COUNTIF(Vertices[Degree],"&gt;="&amp;D20)</f>
        <v>0</v>
      </c>
      <c r="F19" s="41">
        <f t="shared" si="2"/>
        <v>0</v>
      </c>
      <c r="G19" s="42">
        <f>COUNTIF(Vertices[In-Degree],"&gt;= "&amp;F19)-COUNTIF(Vertices[In-Degree],"&gt;="&amp;F20)</f>
        <v>0</v>
      </c>
      <c r="H19" s="41">
        <f t="shared" si="3"/>
        <v>0</v>
      </c>
      <c r="I19" s="42">
        <f>COUNTIF(Vertices[Out-Degree],"&gt;= "&amp;H19)-COUNTIF(Vertices[Out-Degree],"&gt;="&amp;H20)</f>
        <v>0</v>
      </c>
      <c r="J19" s="41">
        <f t="shared" si="4"/>
        <v>0</v>
      </c>
      <c r="K19" s="42">
        <f>COUNTIF(Vertices[Betweenness Centrality],"&gt;= "&amp;J19)-COUNTIF(Vertices[Betweenness Centrality],"&gt;="&amp;J20)</f>
        <v>0</v>
      </c>
      <c r="L19" s="41">
        <f t="shared" si="5"/>
        <v>0</v>
      </c>
      <c r="M19" s="42">
        <f>COUNTIF(Vertices[Closeness Centrality],"&gt;= "&amp;L19)-COUNTIF(Vertices[Closeness Centrality],"&gt;="&amp;L20)</f>
        <v>0</v>
      </c>
      <c r="N19" s="41">
        <f t="shared" si="6"/>
        <v>0</v>
      </c>
      <c r="O19" s="42">
        <f>COUNTIF(Vertices[Eigenvector Centrality],"&gt;= "&amp;N19)-COUNTIF(Vertices[Eigenvector Centrality],"&gt;="&amp;N20)</f>
        <v>0</v>
      </c>
      <c r="P19" s="41">
        <f t="shared" si="7"/>
        <v>0</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c r="B20" s="36"/>
      <c r="D20" s="34">
        <f t="shared" si="1"/>
        <v>0</v>
      </c>
      <c r="E20" s="3">
        <f>COUNTIF(Vertices[Degree],"&gt;= "&amp;D20)-COUNTIF(Vertices[Degree],"&gt;="&amp;D21)</f>
        <v>0</v>
      </c>
      <c r="F20" s="39">
        <f t="shared" si="2"/>
        <v>0</v>
      </c>
      <c r="G20" s="40">
        <f>COUNTIF(Vertices[In-Degree],"&gt;= "&amp;F20)-COUNTIF(Vertices[In-Degree],"&gt;="&amp;F21)</f>
        <v>0</v>
      </c>
      <c r="H20" s="39">
        <f t="shared" si="3"/>
        <v>0</v>
      </c>
      <c r="I20" s="40">
        <f>COUNTIF(Vertices[Out-Degree],"&gt;= "&amp;H20)-COUNTIF(Vertices[Out-Degree],"&gt;="&amp;H21)</f>
        <v>0</v>
      </c>
      <c r="J20" s="39">
        <f t="shared" si="4"/>
        <v>0</v>
      </c>
      <c r="K20" s="40">
        <f>COUNTIF(Vertices[Betweenness Centrality],"&gt;= "&amp;J20)-COUNTIF(Vertices[Betweenness Centrality],"&gt;="&amp;J21)</f>
        <v>0</v>
      </c>
      <c r="L20" s="39">
        <f t="shared" si="5"/>
        <v>0</v>
      </c>
      <c r="M20" s="40">
        <f>COUNTIF(Vertices[Closeness Centrality],"&gt;= "&amp;L20)-COUNTIF(Vertices[Closeness Centrality],"&gt;="&amp;L21)</f>
        <v>0</v>
      </c>
      <c r="N20" s="39">
        <f t="shared" si="6"/>
        <v>0</v>
      </c>
      <c r="O20" s="40">
        <f>COUNTIF(Vertices[Eigenvector Centrality],"&gt;= "&amp;N20)-COUNTIF(Vertices[Eigenvector Centrality],"&gt;="&amp;N21)</f>
        <v>0</v>
      </c>
      <c r="P20" s="39">
        <f t="shared" si="7"/>
        <v>0</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c r="B21" s="36"/>
      <c r="D21" s="34">
        <f t="shared" si="1"/>
        <v>0</v>
      </c>
      <c r="E21" s="3">
        <f>COUNTIF(Vertices[Degree],"&gt;= "&amp;D21)-COUNTIF(Vertices[Degree],"&gt;="&amp;D22)</f>
        <v>0</v>
      </c>
      <c r="F21" s="41">
        <f t="shared" si="2"/>
        <v>0</v>
      </c>
      <c r="G21" s="42">
        <f>COUNTIF(Vertices[In-Degree],"&gt;= "&amp;F21)-COUNTIF(Vertices[In-Degree],"&gt;="&amp;F22)</f>
        <v>0</v>
      </c>
      <c r="H21" s="41">
        <f t="shared" si="3"/>
        <v>0</v>
      </c>
      <c r="I21" s="42">
        <f>COUNTIF(Vertices[Out-Degree],"&gt;= "&amp;H21)-COUNTIF(Vertices[Out-Degree],"&gt;="&amp;H22)</f>
        <v>0</v>
      </c>
      <c r="J21" s="41">
        <f t="shared" si="4"/>
        <v>0</v>
      </c>
      <c r="K21" s="42">
        <f>COUNTIF(Vertices[Betweenness Centrality],"&gt;= "&amp;J21)-COUNTIF(Vertices[Betweenness Centrality],"&gt;="&amp;J22)</f>
        <v>0</v>
      </c>
      <c r="L21" s="41">
        <f t="shared" si="5"/>
        <v>0</v>
      </c>
      <c r="M21" s="42">
        <f>COUNTIF(Vertices[Closeness Centrality],"&gt;= "&amp;L21)-COUNTIF(Vertices[Closeness Centrality],"&gt;="&amp;L22)</f>
        <v>0</v>
      </c>
      <c r="N21" s="41">
        <f t="shared" si="6"/>
        <v>0</v>
      </c>
      <c r="O21" s="42">
        <f>COUNTIF(Vertices[Eigenvector Centrality],"&gt;= "&amp;N21)-COUNTIF(Vertices[Eigenvector Centrality],"&gt;="&amp;N22)</f>
        <v>0</v>
      </c>
      <c r="P21" s="41">
        <f t="shared" si="7"/>
        <v>0</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c r="B22" s="36"/>
      <c r="D22" s="34">
        <f t="shared" si="1"/>
        <v>0</v>
      </c>
      <c r="E22" s="3">
        <f>COUNTIF(Vertices[Degree],"&gt;= "&amp;D22)-COUNTIF(Vertices[Degree],"&gt;="&amp;D23)</f>
        <v>0</v>
      </c>
      <c r="F22" s="39">
        <f t="shared" si="2"/>
        <v>0</v>
      </c>
      <c r="G22" s="40">
        <f>COUNTIF(Vertices[In-Degree],"&gt;= "&amp;F22)-COUNTIF(Vertices[In-Degree],"&gt;="&amp;F23)</f>
        <v>0</v>
      </c>
      <c r="H22" s="39">
        <f t="shared" si="3"/>
        <v>0</v>
      </c>
      <c r="I22" s="40">
        <f>COUNTIF(Vertices[Out-Degree],"&gt;= "&amp;H22)-COUNTIF(Vertices[Out-Degree],"&gt;="&amp;H23)</f>
        <v>0</v>
      </c>
      <c r="J22" s="39">
        <f t="shared" si="4"/>
        <v>0</v>
      </c>
      <c r="K22" s="40">
        <f>COUNTIF(Vertices[Betweenness Centrality],"&gt;= "&amp;J22)-COUNTIF(Vertices[Betweenness Centrality],"&gt;="&amp;J23)</f>
        <v>0</v>
      </c>
      <c r="L22" s="39">
        <f t="shared" si="5"/>
        <v>0</v>
      </c>
      <c r="M22" s="40">
        <f>COUNTIF(Vertices[Closeness Centrality],"&gt;= "&amp;L22)-COUNTIF(Vertices[Closeness Centrality],"&gt;="&amp;L23)</f>
        <v>0</v>
      </c>
      <c r="N22" s="39">
        <f t="shared" si="6"/>
        <v>0</v>
      </c>
      <c r="O22" s="40">
        <f>COUNTIF(Vertices[Eigenvector Centrality],"&gt;= "&amp;N22)-COUNTIF(Vertices[Eigenvector Centrality],"&gt;="&amp;N23)</f>
        <v>0</v>
      </c>
      <c r="P22" s="39">
        <f t="shared" si="7"/>
        <v>0</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c r="B23" s="36"/>
      <c r="D23" s="34">
        <f t="shared" si="1"/>
        <v>0</v>
      </c>
      <c r="E23" s="3">
        <f>COUNTIF(Vertices[Degree],"&gt;= "&amp;D23)-COUNTIF(Vertices[Degree],"&gt;="&amp;D24)</f>
        <v>0</v>
      </c>
      <c r="F23" s="41">
        <f t="shared" si="2"/>
        <v>0</v>
      </c>
      <c r="G23" s="42">
        <f>COUNTIF(Vertices[In-Degree],"&gt;= "&amp;F23)-COUNTIF(Vertices[In-Degree],"&gt;="&amp;F24)</f>
        <v>0</v>
      </c>
      <c r="H23" s="41">
        <f t="shared" si="3"/>
        <v>0</v>
      </c>
      <c r="I23" s="42">
        <f>COUNTIF(Vertices[Out-Degree],"&gt;= "&amp;H23)-COUNTIF(Vertices[Out-Degree],"&gt;="&amp;H24)</f>
        <v>0</v>
      </c>
      <c r="J23" s="41">
        <f t="shared" si="4"/>
        <v>0</v>
      </c>
      <c r="K23" s="42">
        <f>COUNTIF(Vertices[Betweenness Centrality],"&gt;= "&amp;J23)-COUNTIF(Vertices[Betweenness Centrality],"&gt;="&amp;J24)</f>
        <v>0</v>
      </c>
      <c r="L23" s="41">
        <f t="shared" si="5"/>
        <v>0</v>
      </c>
      <c r="M23" s="42">
        <f>COUNTIF(Vertices[Closeness Centrality],"&gt;= "&amp;L23)-COUNTIF(Vertices[Closeness Centrality],"&gt;="&amp;L24)</f>
        <v>0</v>
      </c>
      <c r="N23" s="41">
        <f t="shared" si="6"/>
        <v>0</v>
      </c>
      <c r="O23" s="42">
        <f>COUNTIF(Vertices[Eigenvector Centrality],"&gt;= "&amp;N23)-COUNTIF(Vertices[Eigenvector Centrality],"&gt;="&amp;N24)</f>
        <v>0</v>
      </c>
      <c r="P23" s="41">
        <f t="shared" si="7"/>
        <v>0</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c r="B24" s="36"/>
      <c r="D24" s="34">
        <f t="shared" si="1"/>
        <v>0</v>
      </c>
      <c r="E24" s="3">
        <f>COUNTIF(Vertices[Degree],"&gt;= "&amp;D24)-COUNTIF(Vertices[Degree],"&gt;="&amp;D25)</f>
        <v>0</v>
      </c>
      <c r="F24" s="39">
        <f t="shared" si="2"/>
        <v>0</v>
      </c>
      <c r="G24" s="40">
        <f>COUNTIF(Vertices[In-Degree],"&gt;= "&amp;F24)-COUNTIF(Vertices[In-Degree],"&gt;="&amp;F25)</f>
        <v>0</v>
      </c>
      <c r="H24" s="39">
        <f t="shared" si="3"/>
        <v>0</v>
      </c>
      <c r="I24" s="40">
        <f>COUNTIF(Vertices[Out-Degree],"&gt;= "&amp;H24)-COUNTIF(Vertices[Out-Degree],"&gt;="&amp;H25)</f>
        <v>0</v>
      </c>
      <c r="J24" s="39">
        <f t="shared" si="4"/>
        <v>0</v>
      </c>
      <c r="K24" s="40">
        <f>COUNTIF(Vertices[Betweenness Centrality],"&gt;= "&amp;J24)-COUNTIF(Vertices[Betweenness Centrality],"&gt;="&amp;J25)</f>
        <v>0</v>
      </c>
      <c r="L24" s="39">
        <f t="shared" si="5"/>
        <v>0</v>
      </c>
      <c r="M24" s="40">
        <f>COUNTIF(Vertices[Closeness Centrality],"&gt;= "&amp;L24)-COUNTIF(Vertices[Closeness Centrality],"&gt;="&amp;L25)</f>
        <v>0</v>
      </c>
      <c r="N24" s="39">
        <f t="shared" si="6"/>
        <v>0</v>
      </c>
      <c r="O24" s="40">
        <f>COUNTIF(Vertices[Eigenvector Centrality],"&gt;= "&amp;N24)-COUNTIF(Vertices[Eigenvector Centrality],"&gt;="&amp;N25)</f>
        <v>0</v>
      </c>
      <c r="P24" s="39">
        <f t="shared" si="7"/>
        <v>0</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c r="B25" s="36"/>
      <c r="D25" s="34">
        <f t="shared" si="1"/>
        <v>0</v>
      </c>
      <c r="E25" s="3">
        <f>COUNTIF(Vertices[Degree],"&gt;= "&amp;D25)-COUNTIF(Vertices[Degree],"&gt;="&amp;D26)</f>
        <v>0</v>
      </c>
      <c r="F25" s="41">
        <f t="shared" si="2"/>
        <v>0</v>
      </c>
      <c r="G25" s="42">
        <f>COUNTIF(Vertices[In-Degree],"&gt;= "&amp;F25)-COUNTIF(Vertices[In-Degree],"&gt;="&amp;F26)</f>
        <v>0</v>
      </c>
      <c r="H25" s="41">
        <f t="shared" si="3"/>
        <v>0</v>
      </c>
      <c r="I25" s="42">
        <f>COUNTIF(Vertices[Out-Degree],"&gt;= "&amp;H25)-COUNTIF(Vertices[Out-Degree],"&gt;="&amp;H26)</f>
        <v>0</v>
      </c>
      <c r="J25" s="41">
        <f t="shared" si="4"/>
        <v>0</v>
      </c>
      <c r="K25" s="42">
        <f>COUNTIF(Vertices[Betweenness Centrality],"&gt;= "&amp;J25)-COUNTIF(Vertices[Betweenness Centrality],"&gt;="&amp;J26)</f>
        <v>0</v>
      </c>
      <c r="L25" s="41">
        <f t="shared" si="5"/>
        <v>0</v>
      </c>
      <c r="M25" s="42">
        <f>COUNTIF(Vertices[Closeness Centrality],"&gt;= "&amp;L25)-COUNTIF(Vertices[Closeness Centrality],"&gt;="&amp;L26)</f>
        <v>0</v>
      </c>
      <c r="N25" s="41">
        <f t="shared" si="6"/>
        <v>0</v>
      </c>
      <c r="O25" s="42">
        <f>COUNTIF(Vertices[Eigenvector Centrality],"&gt;= "&amp;N25)-COUNTIF(Vertices[Eigenvector Centrality],"&gt;="&amp;N26)</f>
        <v>0</v>
      </c>
      <c r="P25" s="41">
        <f t="shared" si="7"/>
        <v>0</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c r="B26" s="36"/>
      <c r="D26" s="34">
        <f t="shared" si="1"/>
        <v>0</v>
      </c>
      <c r="E26" s="3">
        <f>COUNTIF(Vertices[Degree],"&gt;= "&amp;D26)-COUNTIF(Vertices[Degree],"&gt;="&amp;D28)</f>
        <v>0</v>
      </c>
      <c r="F26" s="39">
        <f t="shared" si="2"/>
        <v>0</v>
      </c>
      <c r="G26" s="40">
        <f>COUNTIF(Vertices[In-Degree],"&gt;= "&amp;F26)-COUNTIF(Vertices[In-Degree],"&gt;="&amp;F28)</f>
        <v>0</v>
      </c>
      <c r="H26" s="39">
        <f t="shared" si="3"/>
        <v>0</v>
      </c>
      <c r="I26" s="40">
        <f>COUNTIF(Vertices[Out-Degree],"&gt;= "&amp;H26)-COUNTIF(Vertices[Out-Degree],"&gt;="&amp;H28)</f>
        <v>0</v>
      </c>
      <c r="J26" s="39">
        <f t="shared" si="4"/>
        <v>0</v>
      </c>
      <c r="K26" s="40">
        <f>COUNTIF(Vertices[Betweenness Centrality],"&gt;= "&amp;J26)-COUNTIF(Vertices[Betweenness Centrality],"&gt;="&amp;J28)</f>
        <v>0</v>
      </c>
      <c r="L26" s="39">
        <f t="shared" si="5"/>
        <v>0</v>
      </c>
      <c r="M26" s="40">
        <f>COUNTIF(Vertices[Closeness Centrality],"&gt;= "&amp;L26)-COUNTIF(Vertices[Closeness Centrality],"&gt;="&amp;L28)</f>
        <v>0</v>
      </c>
      <c r="N26" s="39">
        <f t="shared" si="6"/>
        <v>0</v>
      </c>
      <c r="O26" s="40">
        <f>COUNTIF(Vertices[Eigenvector Centrality],"&gt;= "&amp;N26)-COUNTIF(Vertices[Eigenvector Centrality],"&gt;="&amp;N28)</f>
        <v>0</v>
      </c>
      <c r="P26" s="39">
        <f t="shared" si="7"/>
        <v>0</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82"/>
      <c r="B27" s="82"/>
      <c r="D27" s="34"/>
      <c r="E27" s="3">
        <f>COUNTIF(Vertices[Degree],"&gt;= "&amp;D27)-COUNTIF(Vertices[Degree],"&gt;="&amp;D28)</f>
        <v>0</v>
      </c>
      <c r="F27" s="79"/>
      <c r="G27" s="80">
        <f>COUNTIF(Vertices[In-Degree],"&gt;= "&amp;F27)-COUNTIF(Vertices[In-Degree],"&gt;="&amp;F28)</f>
        <v>0</v>
      </c>
      <c r="H27" s="79"/>
      <c r="I27" s="80">
        <f>COUNTIF(Vertices[Out-Degree],"&gt;= "&amp;H27)-COUNTIF(Vertices[Out-Degree],"&gt;="&amp;H28)</f>
        <v>0</v>
      </c>
      <c r="J27" s="79"/>
      <c r="K27" s="80">
        <f>COUNTIF(Vertices[Betweenness Centrality],"&gt;= "&amp;J27)-COUNTIF(Vertices[Betweenness Centrality],"&gt;="&amp;J28)</f>
        <v>0</v>
      </c>
      <c r="L27" s="79"/>
      <c r="M27" s="80">
        <f>COUNTIF(Vertices[Closeness Centrality],"&gt;= "&amp;L27)-COUNTIF(Vertices[Closeness Centrality],"&gt;="&amp;L28)</f>
        <v>0</v>
      </c>
      <c r="N27" s="79"/>
      <c r="O27" s="80">
        <f>COUNTIF(Vertices[Eigenvector Centrality],"&gt;= "&amp;N27)-COUNTIF(Vertices[Eigenvector Centrality],"&gt;="&amp;N28)</f>
        <v>0</v>
      </c>
      <c r="P27" s="79"/>
      <c r="Q27" s="80">
        <f>COUNTIF(Vertices[Eigenvector Centrality],"&gt;= "&amp;P27)-COUNTIF(Vertices[Eigenvector Centrality],"&gt;="&amp;P28)</f>
        <v>0</v>
      </c>
      <c r="R27" s="79"/>
      <c r="S27" s="81">
        <f>COUNTIF(Vertices[Clustering Coefficient],"&gt;= "&amp;R27)-COUNTIF(Vertices[Clustering Coefficient],"&gt;="&amp;R28)</f>
        <v>0</v>
      </c>
      <c r="T27" s="79"/>
      <c r="U27" s="80">
        <f ca="1">COUNTIF(Vertices[Clustering Coefficient],"&gt;= "&amp;T27)-COUNTIF(Vertices[Clustering Coefficient],"&gt;="&amp;T28)</f>
        <v>0</v>
      </c>
    </row>
    <row r="28" spans="1:21" ht="15">
      <c r="A28" s="36"/>
      <c r="B28" s="36"/>
      <c r="D28" s="34">
        <f>D26+($D$50-$D$2)/BinDivisor</f>
        <v>0</v>
      </c>
      <c r="E28" s="3">
        <f>COUNTIF(Vertices[Degree],"&gt;= "&amp;D28)-COUNTIF(Vertices[Degree],"&gt;="&amp;D42)</f>
        <v>0</v>
      </c>
      <c r="F28" s="41">
        <f>F26+($F$50-$F$2)/BinDivisor</f>
        <v>0</v>
      </c>
      <c r="G28" s="42">
        <f>COUNTIF(Vertices[In-Degree],"&gt;= "&amp;F28)-COUNTIF(Vertices[In-Degree],"&gt;="&amp;F42)</f>
        <v>0</v>
      </c>
      <c r="H28" s="41">
        <f>H26+($H$50-$H$2)/BinDivisor</f>
        <v>0</v>
      </c>
      <c r="I28" s="42">
        <f>COUNTIF(Vertices[Out-Degree],"&gt;= "&amp;H28)-COUNTIF(Vertices[Out-Degree],"&gt;="&amp;H42)</f>
        <v>0</v>
      </c>
      <c r="J28" s="41">
        <f>J26+($J$50-$J$2)/BinDivisor</f>
        <v>0</v>
      </c>
      <c r="K28" s="42">
        <f>COUNTIF(Vertices[Betweenness Centrality],"&gt;= "&amp;J28)-COUNTIF(Vertices[Betweenness Centrality],"&gt;="&amp;J42)</f>
        <v>0</v>
      </c>
      <c r="L28" s="41">
        <f>L26+($L$50-$L$2)/BinDivisor</f>
        <v>0</v>
      </c>
      <c r="M28" s="42">
        <f>COUNTIF(Vertices[Closeness Centrality],"&gt;= "&amp;L28)-COUNTIF(Vertices[Closeness Centrality],"&gt;="&amp;L42)</f>
        <v>0</v>
      </c>
      <c r="N28" s="41">
        <f>N26+($N$50-$N$2)/BinDivisor</f>
        <v>0</v>
      </c>
      <c r="O28" s="42">
        <f>COUNTIF(Vertices[Eigenvector Centrality],"&gt;= "&amp;N28)-COUNTIF(Vertices[Eigenvector Centrality],"&gt;="&amp;N42)</f>
        <v>0</v>
      </c>
      <c r="P28" s="41">
        <f>P26+($P$50-$P$2)/BinDivisor</f>
        <v>0</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c r="B29" s="36"/>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36"/>
      <c r="B30" s="3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c r="B31" s="36"/>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1:21" ht="15">
      <c r="A32" s="36"/>
      <c r="B32" s="36"/>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1:21" ht="15">
      <c r="A33" s="82"/>
      <c r="B33" s="82"/>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1:21" ht="15">
      <c r="A34" s="36"/>
      <c r="B34" s="36"/>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1:21" ht="15">
      <c r="A35" s="36"/>
      <c r="B35" s="36"/>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1:21" ht="15">
      <c r="A36" s="36"/>
      <c r="B36" s="36"/>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1:21" ht="15">
      <c r="A37" s="82"/>
      <c r="B37" s="82"/>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1:21" ht="15">
      <c r="A38" s="82"/>
      <c r="B38" s="82"/>
      <c r="D38" s="34"/>
      <c r="E38" s="3">
        <f>COUNTIF(Vertices[Degree],"&gt;= "&amp;D38)-COUNTIF(Vertices[Degree],"&gt;="&amp;D42)</f>
        <v>0</v>
      </c>
      <c r="F38" s="79"/>
      <c r="G38" s="80">
        <f>COUNTIF(Vertices[In-Degree],"&gt;= "&amp;F38)-COUNTIF(Vertices[In-Degree],"&gt;="&amp;F42)</f>
        <v>0</v>
      </c>
      <c r="H38" s="79"/>
      <c r="I38" s="80">
        <f>COUNTIF(Vertices[Out-Degree],"&gt;= "&amp;H38)-COUNTIF(Vertices[Out-Degree],"&gt;="&amp;H42)</f>
        <v>0</v>
      </c>
      <c r="J38" s="79"/>
      <c r="K38" s="80">
        <f>COUNTIF(Vertices[Betweenness Centrality],"&gt;= "&amp;J38)-COUNTIF(Vertices[Betweenness Centrality],"&gt;="&amp;J42)</f>
        <v>0</v>
      </c>
      <c r="L38" s="79"/>
      <c r="M38" s="80">
        <f>COUNTIF(Vertices[Closeness Centrality],"&gt;= "&amp;L38)-COUNTIF(Vertices[Closeness Centrality],"&gt;="&amp;L42)</f>
        <v>0</v>
      </c>
      <c r="N38" s="79"/>
      <c r="O38" s="80">
        <f>COUNTIF(Vertices[Eigenvector Centrality],"&gt;= "&amp;N38)-COUNTIF(Vertices[Eigenvector Centrality],"&gt;="&amp;N42)</f>
        <v>0</v>
      </c>
      <c r="P38" s="79"/>
      <c r="Q38" s="80">
        <f>COUNTIF(Vertices[Eigenvector Centrality],"&gt;= "&amp;P38)-COUNTIF(Vertices[Eigenvector Centrality],"&gt;="&amp;P42)</f>
        <v>0</v>
      </c>
      <c r="R38" s="79"/>
      <c r="S38" s="81">
        <f>COUNTIF(Vertices[Clustering Coefficient],"&gt;= "&amp;R38)-COUNTIF(Vertices[Clustering Coefficient],"&gt;="&amp;R42)</f>
        <v>0</v>
      </c>
      <c r="T38" s="79"/>
      <c r="U38" s="80">
        <f ca="1">COUNTIF(Vertices[Clustering Coefficient],"&gt;= "&amp;T38)-COUNTIF(Vertices[Clustering Coefficient],"&gt;="&amp;T42)</f>
        <v>0</v>
      </c>
    </row>
    <row r="39" spans="1:21" ht="15">
      <c r="A39" s="82"/>
      <c r="B39" s="82"/>
      <c r="D39" s="34"/>
      <c r="E39" s="3">
        <f>COUNTIF(Vertices[Degree],"&gt;= "&amp;D39)-COUNTIF(Vertices[Degree],"&gt;="&amp;D42)</f>
        <v>0</v>
      </c>
      <c r="F39" s="79"/>
      <c r="G39" s="80">
        <f>COUNTIF(Vertices[In-Degree],"&gt;= "&amp;F39)-COUNTIF(Vertices[In-Degree],"&gt;="&amp;F42)</f>
        <v>0</v>
      </c>
      <c r="H39" s="79"/>
      <c r="I39" s="80">
        <f>COUNTIF(Vertices[Out-Degree],"&gt;= "&amp;H39)-COUNTIF(Vertices[Out-Degree],"&gt;="&amp;H42)</f>
        <v>0</v>
      </c>
      <c r="J39" s="79"/>
      <c r="K39" s="80">
        <f>COUNTIF(Vertices[Betweenness Centrality],"&gt;= "&amp;J39)-COUNTIF(Vertices[Betweenness Centrality],"&gt;="&amp;J42)</f>
        <v>0</v>
      </c>
      <c r="L39" s="79"/>
      <c r="M39" s="80">
        <f>COUNTIF(Vertices[Closeness Centrality],"&gt;= "&amp;L39)-COUNTIF(Vertices[Closeness Centrality],"&gt;="&amp;L42)</f>
        <v>0</v>
      </c>
      <c r="N39" s="79"/>
      <c r="O39" s="80">
        <f>COUNTIF(Vertices[Eigenvector Centrality],"&gt;= "&amp;N39)-COUNTIF(Vertices[Eigenvector Centrality],"&gt;="&amp;N42)</f>
        <v>0</v>
      </c>
      <c r="P39" s="79"/>
      <c r="Q39" s="80">
        <f>COUNTIF(Vertices[Eigenvector Centrality],"&gt;= "&amp;P39)-COUNTIF(Vertices[Eigenvector Centrality],"&gt;="&amp;P42)</f>
        <v>0</v>
      </c>
      <c r="R39" s="79"/>
      <c r="S39" s="81">
        <f>COUNTIF(Vertices[Clustering Coefficient],"&gt;= "&amp;R39)-COUNTIF(Vertices[Clustering Coefficient],"&gt;="&amp;R42)</f>
        <v>0</v>
      </c>
      <c r="T39" s="79"/>
      <c r="U39" s="80">
        <f ca="1">COUNTIF(Vertices[Clustering Coefficient],"&gt;= "&amp;T39)-COUNTIF(Vertices[Clustering Coefficient],"&gt;="&amp;T42)</f>
        <v>0</v>
      </c>
    </row>
    <row r="40" spans="1:21" ht="15">
      <c r="A40" s="82"/>
      <c r="B40" s="82"/>
      <c r="D40" s="34"/>
      <c r="E40" s="3">
        <f>COUNTIF(Vertices[Degree],"&gt;= "&amp;D40)-COUNTIF(Vertices[Degree],"&gt;="&amp;D42)</f>
        <v>0</v>
      </c>
      <c r="F40" s="79"/>
      <c r="G40" s="80">
        <f>COUNTIF(Vertices[In-Degree],"&gt;= "&amp;F40)-COUNTIF(Vertices[In-Degree],"&gt;="&amp;F42)</f>
        <v>0</v>
      </c>
      <c r="H40" s="79"/>
      <c r="I40" s="80">
        <f>COUNTIF(Vertices[Out-Degree],"&gt;= "&amp;H40)-COUNTIF(Vertices[Out-Degree],"&gt;="&amp;H42)</f>
        <v>0</v>
      </c>
      <c r="J40" s="79"/>
      <c r="K40" s="80">
        <f>COUNTIF(Vertices[Betweenness Centrality],"&gt;= "&amp;J40)-COUNTIF(Vertices[Betweenness Centrality],"&gt;="&amp;J42)</f>
        <v>0</v>
      </c>
      <c r="L40" s="79"/>
      <c r="M40" s="80">
        <f>COUNTIF(Vertices[Closeness Centrality],"&gt;= "&amp;L40)-COUNTIF(Vertices[Closeness Centrality],"&gt;="&amp;L42)</f>
        <v>0</v>
      </c>
      <c r="N40" s="79"/>
      <c r="O40" s="80">
        <f>COUNTIF(Vertices[Eigenvector Centrality],"&gt;= "&amp;N40)-COUNTIF(Vertices[Eigenvector Centrality],"&gt;="&amp;N42)</f>
        <v>0</v>
      </c>
      <c r="P40" s="79"/>
      <c r="Q40" s="80">
        <f>COUNTIF(Vertices[Eigenvector Centrality],"&gt;= "&amp;P40)-COUNTIF(Vertices[Eigenvector Centrality],"&gt;="&amp;P42)</f>
        <v>0</v>
      </c>
      <c r="R40" s="79"/>
      <c r="S40" s="81">
        <f>COUNTIF(Vertices[Clustering Coefficient],"&gt;= "&amp;R40)-COUNTIF(Vertices[Clustering Coefficient],"&gt;="&amp;R42)</f>
        <v>0</v>
      </c>
      <c r="T40" s="79"/>
      <c r="U40" s="80">
        <f ca="1">COUNTIF(Vertices[Clustering Coefficient],"&gt;= "&amp;T40)-COUNTIF(Vertices[Clustering Coefficient],"&gt;="&amp;T42)</f>
        <v>0</v>
      </c>
    </row>
    <row r="41" spans="1:21" ht="15">
      <c r="A41" s="82"/>
      <c r="B41" s="82"/>
      <c r="D41" s="34"/>
      <c r="E41" s="3">
        <f>COUNTIF(Vertices[Degree],"&gt;= "&amp;D41)-COUNTIF(Vertices[Degree],"&gt;="&amp;D42)</f>
        <v>0</v>
      </c>
      <c r="F41" s="79"/>
      <c r="G41" s="80">
        <f>COUNTIF(Vertices[In-Degree],"&gt;= "&amp;F41)-COUNTIF(Vertices[In-Degree],"&gt;="&amp;F42)</f>
        <v>0</v>
      </c>
      <c r="H41" s="79"/>
      <c r="I41" s="80">
        <f>COUNTIF(Vertices[Out-Degree],"&gt;= "&amp;H41)-COUNTIF(Vertices[Out-Degree],"&gt;="&amp;H42)</f>
        <v>0</v>
      </c>
      <c r="J41" s="79"/>
      <c r="K41" s="80">
        <f>COUNTIF(Vertices[Betweenness Centrality],"&gt;= "&amp;J41)-COUNTIF(Vertices[Betweenness Centrality],"&gt;="&amp;J42)</f>
        <v>0</v>
      </c>
      <c r="L41" s="79"/>
      <c r="M41" s="80">
        <f>COUNTIF(Vertices[Closeness Centrality],"&gt;= "&amp;L41)-COUNTIF(Vertices[Closeness Centrality],"&gt;="&amp;L42)</f>
        <v>0</v>
      </c>
      <c r="N41" s="79"/>
      <c r="O41" s="80">
        <f>COUNTIF(Vertices[Eigenvector Centrality],"&gt;= "&amp;N41)-COUNTIF(Vertices[Eigenvector Centrality],"&gt;="&amp;N42)</f>
        <v>0</v>
      </c>
      <c r="P41" s="79"/>
      <c r="Q41" s="80">
        <f>COUNTIF(Vertices[Eigenvector Centrality],"&gt;= "&amp;P41)-COUNTIF(Vertices[Eigenvector Centrality],"&gt;="&amp;P42)</f>
        <v>0</v>
      </c>
      <c r="R41" s="79"/>
      <c r="S41" s="81">
        <f>COUNTIF(Vertices[Clustering Coefficient],"&gt;= "&amp;R41)-COUNTIF(Vertices[Clustering Coefficient],"&gt;="&amp;R42)</f>
        <v>0</v>
      </c>
      <c r="T41" s="79"/>
      <c r="U41" s="80">
        <f ca="1">COUNTIF(Vertices[Clustering Coefficient],"&gt;= "&amp;T41)-COUNTIF(Vertices[Clustering Coefficient],"&gt;="&amp;T42)</f>
        <v>0</v>
      </c>
    </row>
    <row r="42" spans="1:21" ht="15">
      <c r="A42" s="36"/>
      <c r="B42" s="36"/>
      <c r="D42" s="34">
        <f>D28+($D$50-$D$2)/BinDivisor</f>
        <v>0</v>
      </c>
      <c r="E42" s="3">
        <f>COUNTIF(Vertices[Degree],"&gt;= "&amp;D42)-COUNTIF(Vertices[Degree],"&gt;="&amp;D43)</f>
        <v>0</v>
      </c>
      <c r="F42" s="39">
        <f>F28+($F$50-$F$2)/BinDivisor</f>
        <v>0</v>
      </c>
      <c r="G42" s="40">
        <f>COUNTIF(Vertices[In-Degree],"&gt;= "&amp;F42)-COUNTIF(Vertices[In-Degree],"&gt;="&amp;F43)</f>
        <v>0</v>
      </c>
      <c r="H42" s="39">
        <f>H28+($H$50-$H$2)/BinDivisor</f>
        <v>0</v>
      </c>
      <c r="I42" s="40">
        <f>COUNTIF(Vertices[Out-Degree],"&gt;= "&amp;H42)-COUNTIF(Vertices[Out-Degree],"&gt;="&amp;H43)</f>
        <v>0</v>
      </c>
      <c r="J42" s="39">
        <f>J28+($J$50-$J$2)/BinDivisor</f>
        <v>0</v>
      </c>
      <c r="K42" s="40">
        <f>COUNTIF(Vertices[Betweenness Centrality],"&gt;= "&amp;J42)-COUNTIF(Vertices[Betweenness Centrality],"&gt;="&amp;J43)</f>
        <v>0</v>
      </c>
      <c r="L42" s="39">
        <f>L28+($L$50-$L$2)/BinDivisor</f>
        <v>0</v>
      </c>
      <c r="M42" s="40">
        <f>COUNTIF(Vertices[Closeness Centrality],"&gt;= "&amp;L42)-COUNTIF(Vertices[Closeness Centrality],"&gt;="&amp;L43)</f>
        <v>0</v>
      </c>
      <c r="N42" s="39">
        <f>N28+($N$50-$N$2)/BinDivisor</f>
        <v>0</v>
      </c>
      <c r="O42" s="40">
        <f>COUNTIF(Vertices[Eigenvector Centrality],"&gt;= "&amp;N42)-COUNTIF(Vertices[Eigenvector Centrality],"&gt;="&amp;N43)</f>
        <v>0</v>
      </c>
      <c r="P42" s="39">
        <f>P28+($P$50-$P$2)/BinDivisor</f>
        <v>0</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c r="B43" s="36"/>
      <c r="D43" s="34">
        <f aca="true" t="shared" si="10" ref="D43:D49">D42+($D$50-$D$2)/BinDivisor</f>
        <v>0</v>
      </c>
      <c r="E43" s="3">
        <f>COUNTIF(Vertices[Degree],"&gt;= "&amp;D43)-COUNTIF(Vertices[Degree],"&gt;="&amp;D44)</f>
        <v>0</v>
      </c>
      <c r="F43" s="41">
        <f aca="true" t="shared" si="11" ref="F43:F49">F42+($F$50-$F$2)/BinDivisor</f>
        <v>0</v>
      </c>
      <c r="G43" s="42">
        <f>COUNTIF(Vertices[In-Degree],"&gt;= "&amp;F43)-COUNTIF(Vertices[In-Degree],"&gt;="&amp;F44)</f>
        <v>0</v>
      </c>
      <c r="H43" s="41">
        <f aca="true" t="shared" si="12" ref="H43:H49">H42+($H$50-$H$2)/BinDivisor</f>
        <v>0</v>
      </c>
      <c r="I43" s="42">
        <f>COUNTIF(Vertices[Out-Degree],"&gt;= "&amp;H43)-COUNTIF(Vertices[Out-Degree],"&gt;="&amp;H44)</f>
        <v>0</v>
      </c>
      <c r="J43" s="41">
        <f aca="true" t="shared" si="13" ref="J43:J49">J42+($J$50-$J$2)/BinDivisor</f>
        <v>0</v>
      </c>
      <c r="K43" s="42">
        <f>COUNTIF(Vertices[Betweenness Centrality],"&gt;= "&amp;J43)-COUNTIF(Vertices[Betweenness Centrality],"&gt;="&amp;J44)</f>
        <v>0</v>
      </c>
      <c r="L43" s="41">
        <f aca="true" t="shared" si="14" ref="L43:L49">L42+($L$50-$L$2)/BinDivisor</f>
        <v>0</v>
      </c>
      <c r="M43" s="42">
        <f>COUNTIF(Vertices[Closeness Centrality],"&gt;= "&amp;L43)-COUNTIF(Vertices[Closeness Centrality],"&gt;="&amp;L44)</f>
        <v>0</v>
      </c>
      <c r="N43" s="41">
        <f aca="true" t="shared" si="15" ref="N43:N49">N42+($N$50-$N$2)/BinDivisor</f>
        <v>0</v>
      </c>
      <c r="O43" s="42">
        <f>COUNTIF(Vertices[Eigenvector Centrality],"&gt;= "&amp;N43)-COUNTIF(Vertices[Eigenvector Centrality],"&gt;="&amp;N44)</f>
        <v>0</v>
      </c>
      <c r="P43" s="41">
        <f aca="true" t="shared" si="16" ref="P43:P49">P42+($P$50-$P$2)/BinDivisor</f>
        <v>0</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c r="B44" s="36"/>
      <c r="D44" s="34">
        <f t="shared" si="10"/>
        <v>0</v>
      </c>
      <c r="E44" s="3">
        <f>COUNTIF(Vertices[Degree],"&gt;= "&amp;D44)-COUNTIF(Vertices[Degree],"&gt;="&amp;D45)</f>
        <v>0</v>
      </c>
      <c r="F44" s="39">
        <f t="shared" si="11"/>
        <v>0</v>
      </c>
      <c r="G44" s="40">
        <f>COUNTIF(Vertices[In-Degree],"&gt;= "&amp;F44)-COUNTIF(Vertices[In-Degree],"&gt;="&amp;F45)</f>
        <v>0</v>
      </c>
      <c r="H44" s="39">
        <f t="shared" si="12"/>
        <v>0</v>
      </c>
      <c r="I44" s="40">
        <f>COUNTIF(Vertices[Out-Degree],"&gt;= "&amp;H44)-COUNTIF(Vertices[Out-Degree],"&gt;="&amp;H45)</f>
        <v>0</v>
      </c>
      <c r="J44" s="39">
        <f t="shared" si="13"/>
        <v>0</v>
      </c>
      <c r="K44" s="40">
        <f>COUNTIF(Vertices[Betweenness Centrality],"&gt;= "&amp;J44)-COUNTIF(Vertices[Betweenness Centrality],"&gt;="&amp;J45)</f>
        <v>0</v>
      </c>
      <c r="L44" s="39">
        <f t="shared" si="14"/>
        <v>0</v>
      </c>
      <c r="M44" s="40">
        <f>COUNTIF(Vertices[Closeness Centrality],"&gt;= "&amp;L44)-COUNTIF(Vertices[Closeness Centrality],"&gt;="&amp;L45)</f>
        <v>0</v>
      </c>
      <c r="N44" s="39">
        <f t="shared" si="15"/>
        <v>0</v>
      </c>
      <c r="O44" s="40">
        <f>COUNTIF(Vertices[Eigenvector Centrality],"&gt;= "&amp;N44)-COUNTIF(Vertices[Eigenvector Centrality],"&gt;="&amp;N45)</f>
        <v>0</v>
      </c>
      <c r="P44" s="39">
        <f t="shared" si="16"/>
        <v>0</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c r="B45" s="36"/>
      <c r="D45" s="34">
        <f t="shared" si="10"/>
        <v>0</v>
      </c>
      <c r="E45" s="3">
        <f>COUNTIF(Vertices[Degree],"&gt;= "&amp;D45)-COUNTIF(Vertices[Degree],"&gt;="&amp;D46)</f>
        <v>0</v>
      </c>
      <c r="F45" s="41">
        <f t="shared" si="11"/>
        <v>0</v>
      </c>
      <c r="G45" s="42">
        <f>COUNTIF(Vertices[In-Degree],"&gt;= "&amp;F45)-COUNTIF(Vertices[In-Degree],"&gt;="&amp;F46)</f>
        <v>0</v>
      </c>
      <c r="H45" s="41">
        <f t="shared" si="12"/>
        <v>0</v>
      </c>
      <c r="I45" s="42">
        <f>COUNTIF(Vertices[Out-Degree],"&gt;= "&amp;H45)-COUNTIF(Vertices[Out-Degree],"&gt;="&amp;H46)</f>
        <v>0</v>
      </c>
      <c r="J45" s="41">
        <f t="shared" si="13"/>
        <v>0</v>
      </c>
      <c r="K45" s="42">
        <f>COUNTIF(Vertices[Betweenness Centrality],"&gt;= "&amp;J45)-COUNTIF(Vertices[Betweenness Centrality],"&gt;="&amp;J46)</f>
        <v>0</v>
      </c>
      <c r="L45" s="41">
        <f t="shared" si="14"/>
        <v>0</v>
      </c>
      <c r="M45" s="42">
        <f>COUNTIF(Vertices[Closeness Centrality],"&gt;= "&amp;L45)-COUNTIF(Vertices[Closeness Centrality],"&gt;="&amp;L46)</f>
        <v>0</v>
      </c>
      <c r="N45" s="41">
        <f t="shared" si="15"/>
        <v>0</v>
      </c>
      <c r="O45" s="42">
        <f>COUNTIF(Vertices[Eigenvector Centrality],"&gt;= "&amp;N45)-COUNTIF(Vertices[Eigenvector Centrality],"&gt;="&amp;N46)</f>
        <v>0</v>
      </c>
      <c r="P45" s="41">
        <f t="shared" si="16"/>
        <v>0</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c r="B46" s="36"/>
      <c r="D46" s="34">
        <f t="shared" si="10"/>
        <v>0</v>
      </c>
      <c r="E46" s="3">
        <f>COUNTIF(Vertices[Degree],"&gt;= "&amp;D46)-COUNTIF(Vertices[Degree],"&gt;="&amp;D47)</f>
        <v>0</v>
      </c>
      <c r="F46" s="39">
        <f t="shared" si="11"/>
        <v>0</v>
      </c>
      <c r="G46" s="40">
        <f>COUNTIF(Vertices[In-Degree],"&gt;= "&amp;F46)-COUNTIF(Vertices[In-Degree],"&gt;="&amp;F47)</f>
        <v>0</v>
      </c>
      <c r="H46" s="39">
        <f t="shared" si="12"/>
        <v>0</v>
      </c>
      <c r="I46" s="40">
        <f>COUNTIF(Vertices[Out-Degree],"&gt;= "&amp;H46)-COUNTIF(Vertices[Out-Degree],"&gt;="&amp;H47)</f>
        <v>0</v>
      </c>
      <c r="J46" s="39">
        <f t="shared" si="13"/>
        <v>0</v>
      </c>
      <c r="K46" s="40">
        <f>COUNTIF(Vertices[Betweenness Centrality],"&gt;= "&amp;J46)-COUNTIF(Vertices[Betweenness Centrality],"&gt;="&amp;J47)</f>
        <v>0</v>
      </c>
      <c r="L46" s="39">
        <f t="shared" si="14"/>
        <v>0</v>
      </c>
      <c r="M46" s="40">
        <f>COUNTIF(Vertices[Closeness Centrality],"&gt;= "&amp;L46)-COUNTIF(Vertices[Closeness Centrality],"&gt;="&amp;L47)</f>
        <v>0</v>
      </c>
      <c r="N46" s="39">
        <f t="shared" si="15"/>
        <v>0</v>
      </c>
      <c r="O46" s="40">
        <f>COUNTIF(Vertices[Eigenvector Centrality],"&gt;= "&amp;N46)-COUNTIF(Vertices[Eigenvector Centrality],"&gt;="&amp;N47)</f>
        <v>0</v>
      </c>
      <c r="P46" s="39">
        <f t="shared" si="16"/>
        <v>0</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c r="B47" s="36"/>
      <c r="D47" s="34">
        <f t="shared" si="10"/>
        <v>0</v>
      </c>
      <c r="E47" s="3">
        <f>COUNTIF(Vertices[Degree],"&gt;= "&amp;D47)-COUNTIF(Vertices[Degree],"&gt;="&amp;D48)</f>
        <v>0</v>
      </c>
      <c r="F47" s="41">
        <f t="shared" si="11"/>
        <v>0</v>
      </c>
      <c r="G47" s="42">
        <f>COUNTIF(Vertices[In-Degree],"&gt;= "&amp;F47)-COUNTIF(Vertices[In-Degree],"&gt;="&amp;F48)</f>
        <v>0</v>
      </c>
      <c r="H47" s="41">
        <f t="shared" si="12"/>
        <v>0</v>
      </c>
      <c r="I47" s="42">
        <f>COUNTIF(Vertices[Out-Degree],"&gt;= "&amp;H47)-COUNTIF(Vertices[Out-Degree],"&gt;="&amp;H48)</f>
        <v>0</v>
      </c>
      <c r="J47" s="41">
        <f t="shared" si="13"/>
        <v>0</v>
      </c>
      <c r="K47" s="42">
        <f>COUNTIF(Vertices[Betweenness Centrality],"&gt;= "&amp;J47)-COUNTIF(Vertices[Betweenness Centrality],"&gt;="&amp;J48)</f>
        <v>0</v>
      </c>
      <c r="L47" s="41">
        <f t="shared" si="14"/>
        <v>0</v>
      </c>
      <c r="M47" s="42">
        <f>COUNTIF(Vertices[Closeness Centrality],"&gt;= "&amp;L47)-COUNTIF(Vertices[Closeness Centrality],"&gt;="&amp;L48)</f>
        <v>0</v>
      </c>
      <c r="N47" s="41">
        <f t="shared" si="15"/>
        <v>0</v>
      </c>
      <c r="O47" s="42">
        <f>COUNTIF(Vertices[Eigenvector Centrality],"&gt;= "&amp;N47)-COUNTIF(Vertices[Eigenvector Centrality],"&gt;="&amp;N48)</f>
        <v>0</v>
      </c>
      <c r="P47" s="41">
        <f t="shared" si="16"/>
        <v>0</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c r="B48" s="36"/>
      <c r="D48" s="34">
        <f t="shared" si="10"/>
        <v>0</v>
      </c>
      <c r="E48" s="3">
        <f>COUNTIF(Vertices[Degree],"&gt;= "&amp;D48)-COUNTIF(Vertices[Degree],"&gt;="&amp;D49)</f>
        <v>0</v>
      </c>
      <c r="F48" s="39">
        <f t="shared" si="11"/>
        <v>0</v>
      </c>
      <c r="G48" s="40">
        <f>COUNTIF(Vertices[In-Degree],"&gt;= "&amp;F48)-COUNTIF(Vertices[In-Degree],"&gt;="&amp;F49)</f>
        <v>0</v>
      </c>
      <c r="H48" s="39">
        <f t="shared" si="12"/>
        <v>0</v>
      </c>
      <c r="I48" s="40">
        <f>COUNTIF(Vertices[Out-Degree],"&gt;= "&amp;H48)-COUNTIF(Vertices[Out-Degree],"&gt;="&amp;H49)</f>
        <v>0</v>
      </c>
      <c r="J48" s="39">
        <f t="shared" si="13"/>
        <v>0</v>
      </c>
      <c r="K48" s="40">
        <f>COUNTIF(Vertices[Betweenness Centrality],"&gt;= "&amp;J48)-COUNTIF(Vertices[Betweenness Centrality],"&gt;="&amp;J49)</f>
        <v>0</v>
      </c>
      <c r="L48" s="39">
        <f t="shared" si="14"/>
        <v>0</v>
      </c>
      <c r="M48" s="40">
        <f>COUNTIF(Vertices[Closeness Centrality],"&gt;= "&amp;L48)-COUNTIF(Vertices[Closeness Centrality],"&gt;="&amp;L49)</f>
        <v>0</v>
      </c>
      <c r="N48" s="39">
        <f t="shared" si="15"/>
        <v>0</v>
      </c>
      <c r="O48" s="40">
        <f>COUNTIF(Vertices[Eigenvector Centrality],"&gt;= "&amp;N48)-COUNTIF(Vertices[Eigenvector Centrality],"&gt;="&amp;N49)</f>
        <v>0</v>
      </c>
      <c r="P48" s="39">
        <f t="shared" si="16"/>
        <v>0</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6"/>
      <c r="B49" s="36"/>
      <c r="D49" s="34">
        <f t="shared" si="10"/>
        <v>0</v>
      </c>
      <c r="E49" s="3">
        <f>COUNTIF(Vertices[Degree],"&gt;= "&amp;D49)-COUNTIF(Vertices[Degree],"&gt;="&amp;#REF!)</f>
        <v>0</v>
      </c>
      <c r="F49" s="41">
        <f t="shared" si="11"/>
        <v>0</v>
      </c>
      <c r="G49" s="42">
        <f>COUNTIF(Vertices[In-Degree],"&gt;= "&amp;F49)-COUNTIF(Vertices[In-Degree],"&gt;="&amp;#REF!)</f>
        <v>0</v>
      </c>
      <c r="H49" s="41">
        <f t="shared" si="12"/>
        <v>0</v>
      </c>
      <c r="I49" s="42">
        <f>COUNTIF(Vertices[Out-Degree],"&gt;= "&amp;H49)-COUNTIF(Vertices[Out-Degree],"&gt;="&amp;#REF!)</f>
        <v>0</v>
      </c>
      <c r="J49" s="41">
        <f t="shared" si="13"/>
        <v>0</v>
      </c>
      <c r="K49" s="42">
        <f>COUNTIF(Vertices[Betweenness Centrality],"&gt;= "&amp;J49)-COUNTIF(Vertices[Betweenness Centrality],"&gt;="&amp;#REF!)</f>
        <v>0</v>
      </c>
      <c r="L49" s="41">
        <f t="shared" si="14"/>
        <v>0</v>
      </c>
      <c r="M49" s="42">
        <f>COUNTIF(Vertices[Closeness Centrality],"&gt;= "&amp;L49)-COUNTIF(Vertices[Closeness Centrality],"&gt;="&amp;#REF!)</f>
        <v>0</v>
      </c>
      <c r="N49" s="41">
        <f t="shared" si="15"/>
        <v>0</v>
      </c>
      <c r="O49" s="42">
        <f>COUNTIF(Vertices[Eigenvector Centrality],"&gt;= "&amp;N49)-COUNTIF(Vertices[Eigenvector Centrality],"&gt;="&amp;#REF!)</f>
        <v>0</v>
      </c>
      <c r="P49" s="41">
        <f t="shared" si="16"/>
        <v>0</v>
      </c>
      <c r="Q49" s="42">
        <f>COUNTIF(Vertices[PageRank],"&gt;= "&amp;P49)-COUNTIF(Vertices[PageRank],"&gt;="&amp;#REF!)</f>
        <v>0</v>
      </c>
      <c r="R49" s="41">
        <f t="shared" si="17"/>
        <v>0</v>
      </c>
      <c r="S49" s="46">
        <f>COUNTIF(Vertices[Clustering Coefficient],"&gt;= "&amp;R49)-COUNTIF(Vertices[Clustering Coefficient],"&gt;="&amp;#REF!)</f>
        <v>0</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0</v>
      </c>
      <c r="G50" s="44">
        <f>COUNTIF(Vertices[In-Degree],"&gt;= "&amp;F50)-COUNTIF(Vertices[In-Degree],"&gt;="&amp;#REF!)</f>
        <v>0</v>
      </c>
      <c r="H50" s="43">
        <f>MAX(Vertices[Out-Degree])</f>
        <v>0</v>
      </c>
      <c r="I50" s="44">
        <f>COUNTIF(Vertices[Out-Degree],"&gt;= "&amp;H50)-COUNTIF(Vertices[Out-Degree],"&gt;="&amp;#REF!)</f>
        <v>0</v>
      </c>
      <c r="J50" s="43">
        <f>MAX(Vertices[Betweenness Centrality])</f>
        <v>0</v>
      </c>
      <c r="K50" s="44">
        <f>COUNTIF(Vertices[Betweenness Centrality],"&gt;= "&amp;J50)-COUNTIF(Vertices[Betweenness Centrality],"&gt;="&amp;#REF!)</f>
        <v>0</v>
      </c>
      <c r="L50" s="43">
        <f>MAX(Vertices[Closeness Centrality])</f>
        <v>0</v>
      </c>
      <c r="M50" s="44">
        <f>COUNTIF(Vertices[Closeness Centrality],"&gt;= "&amp;L50)-COUNTIF(Vertices[Closeness Centrality],"&gt;="&amp;#REF!)</f>
        <v>0</v>
      </c>
      <c r="N50" s="43">
        <f>MAX(Vertices[Eigenvector Centrality])</f>
        <v>0</v>
      </c>
      <c r="O50" s="44">
        <f>COUNTIF(Vertices[Eigenvector Centrality],"&gt;= "&amp;N50)-COUNTIF(Vertices[Eigenvector Centrality],"&gt;="&amp;#REF!)</f>
        <v>0</v>
      </c>
      <c r="P50" s="43">
        <f>MAX(Vertices[PageRank])</f>
        <v>0</v>
      </c>
      <c r="Q50" s="44">
        <f>COUNTIF(Vertices[PageRank],"&gt;= "&amp;P50)-COUNTIF(Vertices[PageRank],"&gt;="&amp;#REF!)</f>
        <v>0</v>
      </c>
      <c r="R50" s="43">
        <f>MAX(Vertices[Clustering Coefficient])</f>
        <v>0</v>
      </c>
      <c r="S50" s="47">
        <f>COUNTIF(Vertices[Clustering Coefficient],"&gt;= "&amp;R50)-COUNTIF(Vertices[Clustering Coefficient],"&gt;="&amp;#REF!)</f>
        <v>0</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t="str">
        <f>IF(COUNT(Vertices[In-Degree])&gt;0,F2,NoMetricMessage)</f>
        <v>Not Available</v>
      </c>
    </row>
    <row r="81" spans="1:2" ht="15">
      <c r="A81" s="35" t="s">
        <v>89</v>
      </c>
      <c r="B81" s="48" t="str">
        <f>IF(COUNT(Vertices[In-Degree])&gt;0,F50,NoMetricMessage)</f>
        <v>Not Available</v>
      </c>
    </row>
    <row r="82" spans="1:2" ht="15">
      <c r="A82" s="35" t="s">
        <v>90</v>
      </c>
      <c r="B82" s="49" t="str">
        <f>_xlfn.IFERROR(AVERAGE(Vertices[In-Degree]),NoMetricMessage)</f>
        <v>Not Available</v>
      </c>
    </row>
    <row r="83" spans="1:2" ht="15">
      <c r="A83" s="35" t="s">
        <v>91</v>
      </c>
      <c r="B83" s="49" t="str">
        <f>_xlfn.IFERROR(MEDIAN(Vertices[In-Degree]),NoMetricMessage)</f>
        <v>Not Available</v>
      </c>
    </row>
    <row r="94" spans="1:2" ht="15">
      <c r="A94" s="35" t="s">
        <v>94</v>
      </c>
      <c r="B94" s="48" t="str">
        <f>IF(COUNT(Vertices[Out-Degree])&gt;0,H2,NoMetricMessage)</f>
        <v>Not Available</v>
      </c>
    </row>
    <row r="95" spans="1:2" ht="15">
      <c r="A95" s="35" t="s">
        <v>95</v>
      </c>
      <c r="B95" s="48" t="str">
        <f>IF(COUNT(Vertices[Out-Degree])&gt;0,H50,NoMetricMessage)</f>
        <v>Not Available</v>
      </c>
    </row>
    <row r="96" spans="1:2" ht="15">
      <c r="A96" s="35" t="s">
        <v>96</v>
      </c>
      <c r="B96" s="49" t="str">
        <f>_xlfn.IFERROR(AVERAGE(Vertices[Out-Degree]),NoMetricMessage)</f>
        <v>Not Available</v>
      </c>
    </row>
    <row r="97" spans="1:2" ht="15">
      <c r="A97" s="35" t="s">
        <v>97</v>
      </c>
      <c r="B97" s="49" t="str">
        <f>_xlfn.IFERROR(MEDIAN(Vertices[Out-Degree]),NoMetricMessage)</f>
        <v>Not Available</v>
      </c>
    </row>
    <row r="108" spans="1:2" ht="15">
      <c r="A108" s="35" t="s">
        <v>100</v>
      </c>
      <c r="B108" s="49" t="str">
        <f>IF(COUNT(Vertices[Betweenness Centrality])&gt;0,J2,NoMetricMessage)</f>
        <v>Not Available</v>
      </c>
    </row>
    <row r="109" spans="1:2" ht="15">
      <c r="A109" s="35" t="s">
        <v>101</v>
      </c>
      <c r="B109" s="49" t="str">
        <f>IF(COUNT(Vertices[Betweenness Centrality])&gt;0,J50,NoMetricMessage)</f>
        <v>Not Available</v>
      </c>
    </row>
    <row r="110" spans="1:2" ht="15">
      <c r="A110" s="35" t="s">
        <v>102</v>
      </c>
      <c r="B110" s="49" t="str">
        <f>_xlfn.IFERROR(AVERAGE(Vertices[Betweenness Centrality]),NoMetricMessage)</f>
        <v>Not Available</v>
      </c>
    </row>
    <row r="111" spans="1:2" ht="15">
      <c r="A111" s="35" t="s">
        <v>103</v>
      </c>
      <c r="B111" s="49" t="str">
        <f>_xlfn.IFERROR(MEDIAN(Vertices[Betweenness Centrality]),NoMetricMessage)</f>
        <v>Not Available</v>
      </c>
    </row>
    <row r="122" spans="1:2" ht="15">
      <c r="A122" s="35" t="s">
        <v>106</v>
      </c>
      <c r="B122" s="49" t="str">
        <f>IF(COUNT(Vertices[Closeness Centrality])&gt;0,L2,NoMetricMessage)</f>
        <v>Not Available</v>
      </c>
    </row>
    <row r="123" spans="1:2" ht="15">
      <c r="A123" s="35" t="s">
        <v>107</v>
      </c>
      <c r="B123" s="49" t="str">
        <f>IF(COUNT(Vertices[Closeness Centrality])&gt;0,L50,NoMetricMessage)</f>
        <v>Not Available</v>
      </c>
    </row>
    <row r="124" spans="1:2" ht="15">
      <c r="A124" s="35" t="s">
        <v>108</v>
      </c>
      <c r="B124" s="49" t="str">
        <f>_xlfn.IFERROR(AVERAGE(Vertices[Closeness Centrality]),NoMetricMessage)</f>
        <v>Not Available</v>
      </c>
    </row>
    <row r="125" spans="1:2" ht="15">
      <c r="A125" s="35" t="s">
        <v>109</v>
      </c>
      <c r="B125" s="49" t="str">
        <f>_xlfn.IFERROR(MEDIAN(Vertices[Closeness Centrality]),NoMetricMessage)</f>
        <v>Not Available</v>
      </c>
    </row>
    <row r="136" spans="1:2" ht="15">
      <c r="A136" s="35" t="s">
        <v>112</v>
      </c>
      <c r="B136" s="49" t="str">
        <f>IF(COUNT(Vertices[Eigenvector Centrality])&gt;0,N2,NoMetricMessage)</f>
        <v>Not Available</v>
      </c>
    </row>
    <row r="137" spans="1:2" ht="15">
      <c r="A137" s="35" t="s">
        <v>113</v>
      </c>
      <c r="B137" s="49" t="str">
        <f>IF(COUNT(Vertices[Eigenvector Centrality])&gt;0,N50,NoMetricMessage)</f>
        <v>Not Available</v>
      </c>
    </row>
    <row r="138" spans="1:2" ht="15">
      <c r="A138" s="35" t="s">
        <v>114</v>
      </c>
      <c r="B138" s="49" t="str">
        <f>_xlfn.IFERROR(AVERAGE(Vertices[Eigenvector Centrality]),NoMetricMessage)</f>
        <v>Not Available</v>
      </c>
    </row>
    <row r="139" spans="1:2" ht="15">
      <c r="A139" s="35" t="s">
        <v>115</v>
      </c>
      <c r="B139" s="49" t="str">
        <f>_xlfn.IFERROR(MEDIAN(Vertices[Eigenvector Centrality]),NoMetricMessage)</f>
        <v>Not Available</v>
      </c>
    </row>
    <row r="150" spans="1:2" ht="15">
      <c r="A150" s="35" t="s">
        <v>140</v>
      </c>
      <c r="B150" s="49" t="str">
        <f>IF(COUNT(Vertices[PageRank])&gt;0,P2,NoMetricMessage)</f>
        <v>Not Available</v>
      </c>
    </row>
    <row r="151" spans="1:2" ht="15">
      <c r="A151" s="35" t="s">
        <v>141</v>
      </c>
      <c r="B151" s="49" t="str">
        <f>IF(COUNT(Vertices[PageRank])&gt;0,P50,NoMetricMessage)</f>
        <v>Not Available</v>
      </c>
    </row>
    <row r="152" spans="1:2" ht="15">
      <c r="A152" s="35" t="s">
        <v>142</v>
      </c>
      <c r="B152" s="49" t="str">
        <f>_xlfn.IFERROR(AVERAGE(Vertices[PageRank]),NoMetricMessage)</f>
        <v>Not Available</v>
      </c>
    </row>
    <row r="153" spans="1:2" ht="15">
      <c r="A153" s="35" t="s">
        <v>143</v>
      </c>
      <c r="B153" s="49" t="str">
        <f>_xlfn.IFERROR(MEDIAN(Vertices[PageRank]),NoMetricMessage)</f>
        <v>Not Available</v>
      </c>
    </row>
    <row r="164" spans="1:2" ht="15">
      <c r="A164" s="35" t="s">
        <v>118</v>
      </c>
      <c r="B164" s="49" t="str">
        <f>IF(COUNT(Vertices[Clustering Coefficient])&gt;0,R2,NoMetricMessage)</f>
        <v>Not Available</v>
      </c>
    </row>
    <row r="165" spans="1:2" ht="15">
      <c r="A165" s="35" t="s">
        <v>119</v>
      </c>
      <c r="B165" s="49" t="str">
        <f>IF(COUNT(Vertices[Clustering Coefficient])&gt;0,R50,NoMetricMessage)</f>
        <v>Not Available</v>
      </c>
    </row>
    <row r="166" spans="1:2" ht="15">
      <c r="A166" s="35" t="s">
        <v>120</v>
      </c>
      <c r="B166" s="49" t="str">
        <f>_xlfn.IFERROR(AVERAGE(Vertices[Clustering Coefficient]),NoMetricMessage)</f>
        <v>Not Available</v>
      </c>
    </row>
    <row r="167" spans="1:2" ht="15">
      <c r="A167" s="35" t="s">
        <v>121</v>
      </c>
      <c r="B167" s="49"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8" t="s">
        <v>39</v>
      </c>
      <c r="D1" s="19"/>
      <c r="E1" s="19"/>
      <c r="F1" s="19"/>
      <c r="G1" s="18"/>
      <c r="H1" s="16" t="s">
        <v>43</v>
      </c>
      <c r="I1" s="66"/>
      <c r="J1" s="66"/>
      <c r="K1" s="35" t="s">
        <v>42</v>
      </c>
      <c r="L1" s="20" t="s">
        <v>40</v>
      </c>
      <c r="M1" s="20"/>
      <c r="N1" s="17"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333</v>
      </c>
      <c r="BD2" s="13" t="s">
        <v>337</v>
      </c>
      <c r="BE2" s="13" t="s">
        <v>338</v>
      </c>
    </row>
    <row r="3" spans="1:57" ht="15" customHeight="1">
      <c r="A3" s="86" t="s">
        <v>214</v>
      </c>
      <c r="B3" s="86" t="s">
        <v>216</v>
      </c>
      <c r="C3" s="54"/>
      <c r="D3" s="55"/>
      <c r="E3" s="67"/>
      <c r="F3" s="56"/>
      <c r="G3" s="54"/>
      <c r="H3" s="58"/>
      <c r="I3" s="57"/>
      <c r="J3" s="57"/>
      <c r="K3" s="36" t="s">
        <v>65</v>
      </c>
      <c r="L3" s="63">
        <v>3</v>
      </c>
      <c r="M3" s="63"/>
      <c r="N3" s="64"/>
      <c r="O3" s="87" t="s">
        <v>218</v>
      </c>
      <c r="P3" s="89">
        <v>43909.76856481482</v>
      </c>
      <c r="Q3" s="87" t="s">
        <v>220</v>
      </c>
      <c r="R3" s="87"/>
      <c r="S3" s="87"/>
      <c r="T3" s="87"/>
      <c r="U3" s="87"/>
      <c r="V3" s="92" t="s">
        <v>224</v>
      </c>
      <c r="W3" s="89">
        <v>43909.76856481482</v>
      </c>
      <c r="X3" s="93">
        <v>43909</v>
      </c>
      <c r="Y3" s="95" t="s">
        <v>228</v>
      </c>
      <c r="Z3" s="92" t="s">
        <v>232</v>
      </c>
      <c r="AA3" s="87"/>
      <c r="AB3" s="87"/>
      <c r="AC3" s="95" t="s">
        <v>236</v>
      </c>
      <c r="AD3" s="87"/>
      <c r="AE3" s="87" t="b">
        <v>0</v>
      </c>
      <c r="AF3" s="87">
        <v>0</v>
      </c>
      <c r="AG3" s="95" t="s">
        <v>240</v>
      </c>
      <c r="AH3" s="87" t="b">
        <v>0</v>
      </c>
      <c r="AI3" s="87" t="s">
        <v>241</v>
      </c>
      <c r="AJ3" s="87"/>
      <c r="AK3" s="95" t="s">
        <v>240</v>
      </c>
      <c r="AL3" s="87" t="b">
        <v>0</v>
      </c>
      <c r="AM3" s="87">
        <v>2</v>
      </c>
      <c r="AN3" s="95" t="s">
        <v>237</v>
      </c>
      <c r="AO3" s="87" t="s">
        <v>242</v>
      </c>
      <c r="AP3" s="87" t="b">
        <v>0</v>
      </c>
      <c r="AQ3" s="95" t="s">
        <v>237</v>
      </c>
      <c r="AR3" s="87" t="s">
        <v>176</v>
      </c>
      <c r="AS3" s="87">
        <v>0</v>
      </c>
      <c r="AT3" s="87">
        <v>0</v>
      </c>
      <c r="AU3" s="87"/>
      <c r="AV3" s="87"/>
      <c r="AW3" s="87"/>
      <c r="AX3" s="87"/>
      <c r="AY3" s="87"/>
      <c r="AZ3" s="87"/>
      <c r="BA3" s="87"/>
      <c r="BB3" s="87"/>
      <c r="BC3">
        <v>1</v>
      </c>
      <c r="BD3" s="87" t="str">
        <f>REPLACE(INDEX(GroupVertices[Group],MATCH(Edges11[[#This Row],[Vertex 1]],GroupVertices[Vertex],0)),1,1,"")</f>
        <v>1</v>
      </c>
      <c r="BE3" s="87" t="str">
        <f>REPLACE(INDEX(GroupVertices[Group],MATCH(Edges11[[#This Row],[Vertex 2]],GroupVertices[Vertex],0)),1,1,"")</f>
        <v>1</v>
      </c>
    </row>
    <row r="4" spans="1:57" ht="15" customHeight="1">
      <c r="A4" s="86" t="s">
        <v>214</v>
      </c>
      <c r="B4" s="86" t="s">
        <v>215</v>
      </c>
      <c r="C4" s="54"/>
      <c r="D4" s="55"/>
      <c r="E4" s="67"/>
      <c r="F4" s="56"/>
      <c r="G4" s="54"/>
      <c r="H4" s="58"/>
      <c r="I4" s="57"/>
      <c r="J4" s="57"/>
      <c r="K4" s="36" t="s">
        <v>65</v>
      </c>
      <c r="L4" s="85">
        <v>4</v>
      </c>
      <c r="M4" s="85"/>
      <c r="N4" s="64"/>
      <c r="O4" s="88" t="s">
        <v>218</v>
      </c>
      <c r="P4" s="90">
        <v>43909.76856481482</v>
      </c>
      <c r="Q4" s="88" t="s">
        <v>220</v>
      </c>
      <c r="R4" s="88"/>
      <c r="S4" s="88"/>
      <c r="T4" s="88"/>
      <c r="U4" s="88"/>
      <c r="V4" s="91" t="s">
        <v>224</v>
      </c>
      <c r="W4" s="90">
        <v>43909.76856481482</v>
      </c>
      <c r="X4" s="94">
        <v>43909</v>
      </c>
      <c r="Y4" s="96" t="s">
        <v>228</v>
      </c>
      <c r="Z4" s="91" t="s">
        <v>232</v>
      </c>
      <c r="AA4" s="88"/>
      <c r="AB4" s="88"/>
      <c r="AC4" s="96" t="s">
        <v>236</v>
      </c>
      <c r="AD4" s="88"/>
      <c r="AE4" s="88" t="b">
        <v>0</v>
      </c>
      <c r="AF4" s="88">
        <v>0</v>
      </c>
      <c r="AG4" s="96" t="s">
        <v>240</v>
      </c>
      <c r="AH4" s="88" t="b">
        <v>0</v>
      </c>
      <c r="AI4" s="88" t="s">
        <v>241</v>
      </c>
      <c r="AJ4" s="88"/>
      <c r="AK4" s="96" t="s">
        <v>240</v>
      </c>
      <c r="AL4" s="88" t="b">
        <v>0</v>
      </c>
      <c r="AM4" s="88">
        <v>2</v>
      </c>
      <c r="AN4" s="96" t="s">
        <v>237</v>
      </c>
      <c r="AO4" s="88" t="s">
        <v>242</v>
      </c>
      <c r="AP4" s="88" t="b">
        <v>0</v>
      </c>
      <c r="AQ4" s="96" t="s">
        <v>237</v>
      </c>
      <c r="AR4" s="88" t="s">
        <v>176</v>
      </c>
      <c r="AS4" s="88">
        <v>0</v>
      </c>
      <c r="AT4" s="88">
        <v>0</v>
      </c>
      <c r="AU4" s="88"/>
      <c r="AV4" s="88"/>
      <c r="AW4" s="88"/>
      <c r="AX4" s="88"/>
      <c r="AY4" s="88"/>
      <c r="AZ4" s="88"/>
      <c r="BA4" s="88"/>
      <c r="BB4" s="88"/>
      <c r="BC4">
        <v>1</v>
      </c>
      <c r="BD4" s="87" t="str">
        <f>REPLACE(INDEX(GroupVertices[Group],MATCH(Edges11[[#This Row],[Vertex 1]],GroupVertices[Vertex],0)),1,1,"")</f>
        <v>1</v>
      </c>
      <c r="BE4" s="87" t="str">
        <f>REPLACE(INDEX(GroupVertices[Group],MATCH(Edges11[[#This Row],[Vertex 2]],GroupVertices[Vertex],0)),1,1,"")</f>
        <v>1</v>
      </c>
    </row>
    <row r="5" spans="1:57" ht="15">
      <c r="A5" s="86" t="s">
        <v>215</v>
      </c>
      <c r="B5" s="86" t="s">
        <v>216</v>
      </c>
      <c r="C5" s="54"/>
      <c r="D5" s="55"/>
      <c r="E5" s="67"/>
      <c r="F5" s="56"/>
      <c r="G5" s="54"/>
      <c r="H5" s="58"/>
      <c r="I5" s="57"/>
      <c r="J5" s="57"/>
      <c r="K5" s="36" t="s">
        <v>66</v>
      </c>
      <c r="L5" s="85">
        <v>5</v>
      </c>
      <c r="M5" s="85"/>
      <c r="N5" s="64"/>
      <c r="O5" s="88" t="s">
        <v>219</v>
      </c>
      <c r="P5" s="90">
        <v>43909.69693287037</v>
      </c>
      <c r="Q5" s="88" t="s">
        <v>221</v>
      </c>
      <c r="R5" s="91" t="s">
        <v>222</v>
      </c>
      <c r="S5" s="88" t="s">
        <v>223</v>
      </c>
      <c r="T5" s="88"/>
      <c r="U5" s="88"/>
      <c r="V5" s="91" t="s">
        <v>225</v>
      </c>
      <c r="W5" s="90">
        <v>43909.69693287037</v>
      </c>
      <c r="X5" s="94">
        <v>43909</v>
      </c>
      <c r="Y5" s="96" t="s">
        <v>229</v>
      </c>
      <c r="Z5" s="91" t="s">
        <v>233</v>
      </c>
      <c r="AA5" s="88"/>
      <c r="AB5" s="88"/>
      <c r="AC5" s="96" t="s">
        <v>237</v>
      </c>
      <c r="AD5" s="88"/>
      <c r="AE5" s="88" t="b">
        <v>0</v>
      </c>
      <c r="AF5" s="88">
        <v>0</v>
      </c>
      <c r="AG5" s="96" t="s">
        <v>240</v>
      </c>
      <c r="AH5" s="88" t="b">
        <v>0</v>
      </c>
      <c r="AI5" s="88" t="s">
        <v>241</v>
      </c>
      <c r="AJ5" s="88"/>
      <c r="AK5" s="96" t="s">
        <v>240</v>
      </c>
      <c r="AL5" s="88" t="b">
        <v>0</v>
      </c>
      <c r="AM5" s="88">
        <v>0</v>
      </c>
      <c r="AN5" s="96" t="s">
        <v>240</v>
      </c>
      <c r="AO5" s="88" t="s">
        <v>242</v>
      </c>
      <c r="AP5" s="88" t="b">
        <v>1</v>
      </c>
      <c r="AQ5" s="96" t="s">
        <v>237</v>
      </c>
      <c r="AR5" s="88" t="s">
        <v>176</v>
      </c>
      <c r="AS5" s="88">
        <v>0</v>
      </c>
      <c r="AT5" s="88">
        <v>0</v>
      </c>
      <c r="AU5" s="88"/>
      <c r="AV5" s="88"/>
      <c r="AW5" s="88"/>
      <c r="AX5" s="88"/>
      <c r="AY5" s="88"/>
      <c r="AZ5" s="88"/>
      <c r="BA5" s="88"/>
      <c r="BB5" s="88"/>
      <c r="BC5">
        <v>1</v>
      </c>
      <c r="BD5" s="87" t="str">
        <f>REPLACE(INDEX(GroupVertices[Group],MATCH(Edges11[[#This Row],[Vertex 1]],GroupVertices[Vertex],0)),1,1,"")</f>
        <v>1</v>
      </c>
      <c r="BE5" s="87" t="str">
        <f>REPLACE(INDEX(GroupVertices[Group],MATCH(Edges11[[#This Row],[Vertex 2]],GroupVertices[Vertex],0)),1,1,"")</f>
        <v>1</v>
      </c>
    </row>
    <row r="6" spans="1:57" ht="15">
      <c r="A6" s="86" t="s">
        <v>216</v>
      </c>
      <c r="B6" s="86" t="s">
        <v>215</v>
      </c>
      <c r="C6" s="54"/>
      <c r="D6" s="55"/>
      <c r="E6" s="67"/>
      <c r="F6" s="56"/>
      <c r="G6" s="54"/>
      <c r="H6" s="58"/>
      <c r="I6" s="57"/>
      <c r="J6" s="57"/>
      <c r="K6" s="36" t="s">
        <v>66</v>
      </c>
      <c r="L6" s="85">
        <v>6</v>
      </c>
      <c r="M6" s="85"/>
      <c r="N6" s="64"/>
      <c r="O6" s="88" t="s">
        <v>218</v>
      </c>
      <c r="P6" s="90">
        <v>43909.7065625</v>
      </c>
      <c r="Q6" s="88" t="s">
        <v>220</v>
      </c>
      <c r="R6" s="88"/>
      <c r="S6" s="88"/>
      <c r="T6" s="88"/>
      <c r="U6" s="88"/>
      <c r="V6" s="91" t="s">
        <v>226</v>
      </c>
      <c r="W6" s="90">
        <v>43909.7065625</v>
      </c>
      <c r="X6" s="94">
        <v>43909</v>
      </c>
      <c r="Y6" s="96" t="s">
        <v>230</v>
      </c>
      <c r="Z6" s="91" t="s">
        <v>234</v>
      </c>
      <c r="AA6" s="88"/>
      <c r="AB6" s="88"/>
      <c r="AC6" s="96" t="s">
        <v>238</v>
      </c>
      <c r="AD6" s="88"/>
      <c r="AE6" s="88" t="b">
        <v>0</v>
      </c>
      <c r="AF6" s="88">
        <v>0</v>
      </c>
      <c r="AG6" s="96" t="s">
        <v>240</v>
      </c>
      <c r="AH6" s="88" t="b">
        <v>0</v>
      </c>
      <c r="AI6" s="88" t="s">
        <v>241</v>
      </c>
      <c r="AJ6" s="88"/>
      <c r="AK6" s="96" t="s">
        <v>240</v>
      </c>
      <c r="AL6" s="88" t="b">
        <v>0</v>
      </c>
      <c r="AM6" s="88">
        <v>2</v>
      </c>
      <c r="AN6" s="96" t="s">
        <v>237</v>
      </c>
      <c r="AO6" s="88" t="s">
        <v>243</v>
      </c>
      <c r="AP6" s="88" t="b">
        <v>0</v>
      </c>
      <c r="AQ6" s="96" t="s">
        <v>237</v>
      </c>
      <c r="AR6" s="88" t="s">
        <v>176</v>
      </c>
      <c r="AS6" s="88">
        <v>0</v>
      </c>
      <c r="AT6" s="88">
        <v>0</v>
      </c>
      <c r="AU6" s="88"/>
      <c r="AV6" s="88"/>
      <c r="AW6" s="88"/>
      <c r="AX6" s="88"/>
      <c r="AY6" s="88"/>
      <c r="AZ6" s="88"/>
      <c r="BA6" s="88"/>
      <c r="BB6" s="88"/>
      <c r="BC6">
        <v>1</v>
      </c>
      <c r="BD6" s="87" t="str">
        <f>REPLACE(INDEX(GroupVertices[Group],MATCH(Edges11[[#This Row],[Vertex 1]],GroupVertices[Vertex],0)),1,1,"")</f>
        <v>1</v>
      </c>
      <c r="BE6" s="87" t="str">
        <f>REPLACE(INDEX(GroupVertices[Group],MATCH(Edges11[[#This Row],[Vertex 2]],GroupVertices[Vertex],0)),1,1,"")</f>
        <v>1</v>
      </c>
    </row>
    <row r="7" spans="1:57" ht="15">
      <c r="A7" s="86" t="s">
        <v>217</v>
      </c>
      <c r="B7" s="86" t="s">
        <v>216</v>
      </c>
      <c r="C7" s="54"/>
      <c r="D7" s="55"/>
      <c r="E7" s="67"/>
      <c r="F7" s="56"/>
      <c r="G7" s="54"/>
      <c r="H7" s="58"/>
      <c r="I7" s="57"/>
      <c r="J7" s="57"/>
      <c r="K7" s="36" t="s">
        <v>65</v>
      </c>
      <c r="L7" s="85">
        <v>7</v>
      </c>
      <c r="M7" s="85"/>
      <c r="N7" s="64"/>
      <c r="O7" s="88" t="s">
        <v>218</v>
      </c>
      <c r="P7" s="90">
        <v>43910.38267361111</v>
      </c>
      <c r="Q7" s="88" t="s">
        <v>220</v>
      </c>
      <c r="R7" s="88"/>
      <c r="S7" s="88"/>
      <c r="T7" s="88"/>
      <c r="U7" s="88"/>
      <c r="V7" s="91" t="s">
        <v>227</v>
      </c>
      <c r="W7" s="90">
        <v>43910.38267361111</v>
      </c>
      <c r="X7" s="94">
        <v>43910</v>
      </c>
      <c r="Y7" s="96" t="s">
        <v>231</v>
      </c>
      <c r="Z7" s="91" t="s">
        <v>235</v>
      </c>
      <c r="AA7" s="88"/>
      <c r="AB7" s="88"/>
      <c r="AC7" s="96" t="s">
        <v>239</v>
      </c>
      <c r="AD7" s="88"/>
      <c r="AE7" s="88" t="b">
        <v>0</v>
      </c>
      <c r="AF7" s="88">
        <v>0</v>
      </c>
      <c r="AG7" s="96" t="s">
        <v>240</v>
      </c>
      <c r="AH7" s="88" t="b">
        <v>0</v>
      </c>
      <c r="AI7" s="88" t="s">
        <v>241</v>
      </c>
      <c r="AJ7" s="88"/>
      <c r="AK7" s="96" t="s">
        <v>240</v>
      </c>
      <c r="AL7" s="88" t="b">
        <v>0</v>
      </c>
      <c r="AM7" s="88">
        <v>3</v>
      </c>
      <c r="AN7" s="96" t="s">
        <v>237</v>
      </c>
      <c r="AO7" s="88" t="s">
        <v>244</v>
      </c>
      <c r="AP7" s="88" t="b">
        <v>0</v>
      </c>
      <c r="AQ7" s="96" t="s">
        <v>237</v>
      </c>
      <c r="AR7" s="88" t="s">
        <v>176</v>
      </c>
      <c r="AS7" s="88">
        <v>0</v>
      </c>
      <c r="AT7" s="88">
        <v>0</v>
      </c>
      <c r="AU7" s="88"/>
      <c r="AV7" s="88"/>
      <c r="AW7" s="88"/>
      <c r="AX7" s="88"/>
      <c r="AY7" s="88"/>
      <c r="AZ7" s="88"/>
      <c r="BA7" s="88"/>
      <c r="BB7" s="88"/>
      <c r="BC7">
        <v>1</v>
      </c>
      <c r="BD7" s="87" t="str">
        <f>REPLACE(INDEX(GroupVertices[Group],MATCH(Edges11[[#This Row],[Vertex 1]],GroupVertices[Vertex],0)),1,1,"")</f>
        <v>1</v>
      </c>
      <c r="BE7" s="87" t="str">
        <f>REPLACE(INDEX(GroupVertices[Group],MATCH(Edges11[[#This Row],[Vertex 2]],GroupVertices[Vertex],0)),1,1,"")</f>
        <v>1</v>
      </c>
    </row>
    <row r="8" spans="1:57" ht="15">
      <c r="A8" s="86" t="s">
        <v>217</v>
      </c>
      <c r="B8" s="86" t="s">
        <v>215</v>
      </c>
      <c r="C8" s="54"/>
      <c r="D8" s="55"/>
      <c r="E8" s="67"/>
      <c r="F8" s="56"/>
      <c r="G8" s="54"/>
      <c r="H8" s="58"/>
      <c r="I8" s="57"/>
      <c r="J8" s="57"/>
      <c r="K8" s="36" t="s">
        <v>65</v>
      </c>
      <c r="L8" s="85">
        <v>8</v>
      </c>
      <c r="M8" s="85"/>
      <c r="N8" s="64"/>
      <c r="O8" s="88" t="s">
        <v>218</v>
      </c>
      <c r="P8" s="90">
        <v>43910.38267361111</v>
      </c>
      <c r="Q8" s="88" t="s">
        <v>220</v>
      </c>
      <c r="R8" s="88"/>
      <c r="S8" s="88"/>
      <c r="T8" s="88"/>
      <c r="U8" s="88"/>
      <c r="V8" s="91" t="s">
        <v>227</v>
      </c>
      <c r="W8" s="90">
        <v>43910.38267361111</v>
      </c>
      <c r="X8" s="94">
        <v>43910</v>
      </c>
      <c r="Y8" s="96" t="s">
        <v>231</v>
      </c>
      <c r="Z8" s="91" t="s">
        <v>235</v>
      </c>
      <c r="AA8" s="88"/>
      <c r="AB8" s="88"/>
      <c r="AC8" s="96" t="s">
        <v>239</v>
      </c>
      <c r="AD8" s="88"/>
      <c r="AE8" s="88" t="b">
        <v>0</v>
      </c>
      <c r="AF8" s="88">
        <v>0</v>
      </c>
      <c r="AG8" s="96" t="s">
        <v>240</v>
      </c>
      <c r="AH8" s="88" t="b">
        <v>0</v>
      </c>
      <c r="AI8" s="88" t="s">
        <v>241</v>
      </c>
      <c r="AJ8" s="88"/>
      <c r="AK8" s="96" t="s">
        <v>240</v>
      </c>
      <c r="AL8" s="88" t="b">
        <v>0</v>
      </c>
      <c r="AM8" s="88">
        <v>3</v>
      </c>
      <c r="AN8" s="96" t="s">
        <v>237</v>
      </c>
      <c r="AO8" s="88" t="s">
        <v>244</v>
      </c>
      <c r="AP8" s="88" t="b">
        <v>0</v>
      </c>
      <c r="AQ8" s="96" t="s">
        <v>237</v>
      </c>
      <c r="AR8" s="88" t="s">
        <v>176</v>
      </c>
      <c r="AS8" s="88">
        <v>0</v>
      </c>
      <c r="AT8" s="88">
        <v>0</v>
      </c>
      <c r="AU8" s="88"/>
      <c r="AV8" s="88"/>
      <c r="AW8" s="88"/>
      <c r="AX8" s="88"/>
      <c r="AY8" s="88"/>
      <c r="AZ8" s="88"/>
      <c r="BA8" s="88"/>
      <c r="BB8" s="88"/>
      <c r="BC8">
        <v>1</v>
      </c>
      <c r="BD8" s="87" t="str">
        <f>REPLACE(INDEX(GroupVertices[Group],MATCH(Edges11[[#This Row],[Vertex 1]],GroupVertices[Vertex],0)),1,1,"")</f>
        <v>1</v>
      </c>
      <c r="BE8" s="87" t="str">
        <f>REPLACE(INDEX(GroupVertices[Group],MATCH(Edges11[[#This Row],[Vertex 2]],GroupVertices[Vertex],0)),1,1,"")</f>
        <v>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hyperlinks>
    <hyperlink ref="R5" r:id="rId1" display="https://twitter.com/i/web/status/1240680327548416000"/>
    <hyperlink ref="V3" r:id="rId2" display="http://pbs.twimg.com/profile_images/1224317120563089409/tFenbqZe_normal.jpg"/>
    <hyperlink ref="V4" r:id="rId3" display="http://pbs.twimg.com/profile_images/1224317120563089409/tFenbqZe_normal.jpg"/>
    <hyperlink ref="V5" r:id="rId4" display="http://pbs.twimg.com/profile_images/2534760018/dx10cw081qu8u3i5f0pb_normal.jpeg"/>
    <hyperlink ref="V6" r:id="rId5" display="http://pbs.twimg.com/profile_images/1002585194250080260/B514BJzf_normal.jpg"/>
    <hyperlink ref="V7" r:id="rId6" display="http://pbs.twimg.com/profile_images/1154453407144370177/ke6hZ2in_normal.jpg"/>
    <hyperlink ref="V8" r:id="rId7" display="http://pbs.twimg.com/profile_images/1154453407144370177/ke6hZ2in_normal.jpg"/>
    <hyperlink ref="Z3" r:id="rId8" display="https://twitter.com/#!/verosanchez_m/status/1240706286817329153"/>
    <hyperlink ref="Z4" r:id="rId9" display="https://twitter.com/#!/verosanchez_m/status/1240706286817329153"/>
    <hyperlink ref="Z5" r:id="rId10" display="https://twitter.com/#!/vickinashoii/status/1240680327548416000"/>
    <hyperlink ref="Z6" r:id="rId11" display="https://twitter.com/#!/oiioxford/status/1240683817687547912"/>
    <hyperlink ref="Z7" r:id="rId12" display="https://twitter.com/#!/kolinakoltai/status/1240928830568558592"/>
    <hyperlink ref="Z8" r:id="rId13" display="https://twitter.com/#!/kolinakoltai/status/1240928830568558592"/>
  </hyperlinks>
  <printOptions/>
  <pageMargins left="0.7" right="0.7" top="0.75" bottom="0.75" header="0.3" footer="0.3"/>
  <pageSetup horizontalDpi="600" verticalDpi="600" orientation="portrait" r:id="rId17"/>
  <legacyDrawing r:id="rId15"/>
  <tableParts>
    <tablePart r:id="rId1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298</v>
      </c>
      <c r="K7" s="13" t="s">
        <v>299</v>
      </c>
    </row>
    <row r="8" spans="1:11" ht="409.5">
      <c r="A8"/>
      <c r="B8">
        <v>2</v>
      </c>
      <c r="C8">
        <v>2</v>
      </c>
      <c r="D8" t="s">
        <v>61</v>
      </c>
      <c r="E8" t="s">
        <v>61</v>
      </c>
      <c r="H8" t="s">
        <v>73</v>
      </c>
      <c r="J8" t="s">
        <v>300</v>
      </c>
      <c r="K8" s="13" t="s">
        <v>301</v>
      </c>
    </row>
    <row r="9" spans="1:11" ht="409.5">
      <c r="A9"/>
      <c r="B9">
        <v>3</v>
      </c>
      <c r="C9">
        <v>4</v>
      </c>
      <c r="D9" t="s">
        <v>62</v>
      </c>
      <c r="E9" t="s">
        <v>62</v>
      </c>
      <c r="H9" t="s">
        <v>74</v>
      </c>
      <c r="J9" t="s">
        <v>302</v>
      </c>
      <c r="K9" s="13" t="s">
        <v>303</v>
      </c>
    </row>
    <row r="10" spans="1:11" ht="409.5">
      <c r="A10"/>
      <c r="B10">
        <v>4</v>
      </c>
      <c r="D10" t="s">
        <v>63</v>
      </c>
      <c r="E10" t="s">
        <v>63</v>
      </c>
      <c r="H10" t="s">
        <v>75</v>
      </c>
      <c r="J10" t="s">
        <v>304</v>
      </c>
      <c r="K10" s="13" t="s">
        <v>305</v>
      </c>
    </row>
    <row r="11" spans="1:11" ht="15">
      <c r="A11"/>
      <c r="B11">
        <v>5</v>
      </c>
      <c r="D11" t="s">
        <v>46</v>
      </c>
      <c r="E11">
        <v>1</v>
      </c>
      <c r="H11" t="s">
        <v>76</v>
      </c>
      <c r="J11" t="s">
        <v>306</v>
      </c>
      <c r="K11" t="s">
        <v>307</v>
      </c>
    </row>
    <row r="12" spans="1:11" ht="15">
      <c r="A12"/>
      <c r="B12"/>
      <c r="D12" t="s">
        <v>64</v>
      </c>
      <c r="E12">
        <v>2</v>
      </c>
      <c r="H12">
        <v>0</v>
      </c>
      <c r="J12" t="s">
        <v>308</v>
      </c>
      <c r="K12" t="s">
        <v>309</v>
      </c>
    </row>
    <row r="13" spans="1:11" ht="15">
      <c r="A13"/>
      <c r="B13"/>
      <c r="D13">
        <v>1</v>
      </c>
      <c r="E13">
        <v>3</v>
      </c>
      <c r="H13">
        <v>1</v>
      </c>
      <c r="J13" t="s">
        <v>310</v>
      </c>
      <c r="K13" t="s">
        <v>311</v>
      </c>
    </row>
    <row r="14" spans="4:11" ht="15">
      <c r="D14">
        <v>2</v>
      </c>
      <c r="E14">
        <v>4</v>
      </c>
      <c r="H14">
        <v>2</v>
      </c>
      <c r="J14" t="s">
        <v>312</v>
      </c>
      <c r="K14" t="s">
        <v>313</v>
      </c>
    </row>
    <row r="15" spans="4:11" ht="15">
      <c r="D15">
        <v>3</v>
      </c>
      <c r="E15">
        <v>5</v>
      </c>
      <c r="H15">
        <v>3</v>
      </c>
      <c r="J15" t="s">
        <v>314</v>
      </c>
      <c r="K15" t="s">
        <v>315</v>
      </c>
    </row>
    <row r="16" spans="4:11" ht="15">
      <c r="D16">
        <v>4</v>
      </c>
      <c r="E16">
        <v>6</v>
      </c>
      <c r="H16">
        <v>4</v>
      </c>
      <c r="J16" t="s">
        <v>316</v>
      </c>
      <c r="K16" t="s">
        <v>317</v>
      </c>
    </row>
    <row r="17" spans="4:11" ht="15">
      <c r="D17">
        <v>5</v>
      </c>
      <c r="E17">
        <v>7</v>
      </c>
      <c r="H17">
        <v>5</v>
      </c>
      <c r="J17" t="s">
        <v>318</v>
      </c>
      <c r="K17" t="s">
        <v>319</v>
      </c>
    </row>
    <row r="18" spans="4:11" ht="15">
      <c r="D18">
        <v>6</v>
      </c>
      <c r="E18">
        <v>8</v>
      </c>
      <c r="H18">
        <v>6</v>
      </c>
      <c r="J18" t="s">
        <v>320</v>
      </c>
      <c r="K18" t="s">
        <v>321</v>
      </c>
    </row>
    <row r="19" spans="4:11" ht="15">
      <c r="D19">
        <v>7</v>
      </c>
      <c r="E19">
        <v>9</v>
      </c>
      <c r="H19">
        <v>7</v>
      </c>
      <c r="J19" t="s">
        <v>322</v>
      </c>
      <c r="K19" t="s">
        <v>323</v>
      </c>
    </row>
    <row r="20" spans="4:11" ht="15">
      <c r="D20">
        <v>8</v>
      </c>
      <c r="H20">
        <v>8</v>
      </c>
      <c r="J20" t="s">
        <v>324</v>
      </c>
      <c r="K20" t="s">
        <v>325</v>
      </c>
    </row>
    <row r="21" spans="4:11" ht="409.5">
      <c r="D21">
        <v>9</v>
      </c>
      <c r="H21">
        <v>9</v>
      </c>
      <c r="J21" t="s">
        <v>326</v>
      </c>
      <c r="K21" s="13" t="s">
        <v>327</v>
      </c>
    </row>
    <row r="22" spans="4:11" ht="409.5">
      <c r="D22">
        <v>10</v>
      </c>
      <c r="J22" t="s">
        <v>328</v>
      </c>
      <c r="K22" s="13" t="s">
        <v>329</v>
      </c>
    </row>
    <row r="23" spans="4:11" ht="409.5">
      <c r="D23">
        <v>11</v>
      </c>
      <c r="J23" t="s">
        <v>330</v>
      </c>
      <c r="K23" s="13" t="s">
        <v>347</v>
      </c>
    </row>
    <row r="24" spans="10:11" ht="409.5">
      <c r="J24" t="s">
        <v>331</v>
      </c>
      <c r="K24" s="13" t="s">
        <v>346</v>
      </c>
    </row>
    <row r="25" spans="10:11" ht="15">
      <c r="J25" t="s">
        <v>332</v>
      </c>
      <c r="K25" t="b">
        <v>0</v>
      </c>
    </row>
    <row r="26" spans="10:11" ht="15">
      <c r="J26" t="s">
        <v>344</v>
      </c>
      <c r="K26" t="s">
        <v>345</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3" t="s">
        <v>341</v>
      </c>
      <c r="B25" t="s">
        <v>340</v>
      </c>
    </row>
    <row r="26" spans="1:2" ht="15">
      <c r="A26" s="124">
        <v>43909.69693287037</v>
      </c>
      <c r="B26" s="3">
        <v>1</v>
      </c>
    </row>
    <row r="27" spans="1:2" ht="15">
      <c r="A27" s="124">
        <v>43909.7065625</v>
      </c>
      <c r="B27" s="3">
        <v>1</v>
      </c>
    </row>
    <row r="28" spans="1:2" ht="15">
      <c r="A28" s="124">
        <v>43909.76856481482</v>
      </c>
      <c r="B28" s="3">
        <v>2</v>
      </c>
    </row>
    <row r="29" spans="1:2" ht="15">
      <c r="A29" s="124">
        <v>43910.38267361111</v>
      </c>
      <c r="B29" s="3">
        <v>2</v>
      </c>
    </row>
    <row r="30" spans="1:2" ht="15">
      <c r="A30" s="124" t="s">
        <v>342</v>
      </c>
      <c r="B30"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2EC55AE-F733-4CEA-BA25-2A484A58900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2020-04-01T22:27:30Z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