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<sst xmlns="http://schemas.openxmlformats.org/spreadsheetml/2006/main" count="961" uniqueCount="416">
  <si>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</si>
  <si>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</si>
  <si>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</si>
  <si>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</si>
  <si>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</si>
  <si>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</si>
  <si>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</si>
  <si>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</si>
  <si>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</si>
  <si>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</si>
  <si>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</si>
  <si>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</si>
  <si>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</si>
  <si>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</si>
  <si>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</si>
  <si>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</si>
  <si>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</si>
  <si>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</si>
  <si>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</si>
  <si>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</si>
  <si>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</si>
  <si>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</si>
  <si>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</si>
  <si>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</si>
  <si>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</si>
  <si>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</si>
  <si>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</si>
  <si>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</si>
  <si>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</si>
  <si>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</si>
  <si>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</si>
  <si>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</si>
  <si>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</si>
  <si>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</si>
  <si>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</si>
  <si>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</si>
  <si>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</si>
  <si>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</si>
  <si>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</si>
  <si>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</si>
  <si>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</si>
  <si>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</si>
  <si>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</si>
  <si>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</si>
  <si>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</si>
  <si>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</si>
  <si>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</si>
  <si>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</si>
  <si>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</si>
  <si>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</si>
  <si>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</si>
  <si>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</si>
  <si>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</si>
  <si>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</si>
  <si>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</si>
  <si>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</si>
  <si>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</si>
  <si>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</si>
  <si>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</si>
  <si>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</si>
  <si>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</si>
  <si>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</si>
  <si>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</si>
  <si>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</si>
  <si>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</si>
  <si>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</si>
  <si>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</si>
  <si>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</si>
  <si>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</si>
  <si>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</si>
  <si>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</si>
  <si>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</si>
  <si>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</si>
  <si>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</si>
  <si>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</si>
  <si>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</si>
  <si>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</si>
  <si>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</si>
  <si>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</si>
  <si>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</si>
  <si>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</si>
  <si>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</si>
  <si>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</si>
  <si>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</si>
  <si>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</si>
  <si>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</si>
  <si>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</si>
  <si>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</si>
  <si>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</si>
  <si>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</si>
  <si>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</si>
  <si>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</si>
  <si>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</si>
  <si>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</si>
  <si>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</si>
  <si>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</si>
  <si>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</si>
  <si>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</si>
  <si>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</si>
  <si>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</si>
  <si>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</si>
  <si>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</si>
  <si>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</si>
  <si>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</si>
  <si>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</si>
  <si>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</si>
  <si>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</si>
  <si>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</si>
  <si>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</si>
  <si>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</si>
  <si>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</si>
  <si>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</si>
  <si>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</si>
  <si>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</si>
  <si>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</si>
  <si>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</si>
  <si>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</si>
  <si>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</si>
  <si>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</si>
  <si>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</si>
  <si>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</si>
  <si>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</si>
  <si>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</si>
  <si>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</si>
  <si>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</si>
  <si>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</si>
  <si>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</si>
  <si>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</si>
  <si>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</si>
  <si>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</si>
  <si>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</si>
  <si>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</si>
  <si>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</si>
  <si>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</si>
  <si>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</si>
  <si>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</si>
  <si>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</si>
  <si>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</si>
  <si>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</si>
  <si>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</si>
  <si>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</si>
  <si>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</si>
  <si>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</si>
  <si>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</si>
  <si>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</si>
  <si>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</si>
  <si>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</si>
  <si>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</si>
  <si>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</si>
  <si>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</si>
  <si>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</si>
  <si>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</si>
  <si>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</si>
  <si>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</si>
  <si>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</si>
  <si>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</si>
  <si>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</si>
  <si>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</si>
  <si>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</si>
  <si>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</si>
  <si>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</si>
  <si>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</si>
  <si>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</si>
  <si>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</si>
  <si>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</si>
  <si>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</si>
  <si>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</si>
  <si>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</si>
  <si>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</si>
  <si>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</si>
  <si>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</si>
  <si>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</si>
  <si>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</si>
  <si>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</si>
  <si>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</si>
  <si>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</si>
  <si>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</si>
  <si>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</si>
  <si>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</si>
  <si>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</si>
  <si>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</si>
  <si>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</si>
  <si>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</si>
  <si>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</si>
  <si>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</si>
  <si>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</si>
  <si>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</si>
  <si>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</si>
  <si>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</si>
  <si>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</si>
  <si>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</si>
  <si>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</si>
  <si>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</si>
  <si>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</si>
  <si>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</si>
  <si>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</si>
  <si>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</si>
  <si>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</si>
  <si>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</si>
  <si>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</si>
  <si>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</si>
  <si>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</si>
  <si>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</si>
  <si>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</si>
  <si>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</si>
  <si>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</si>
  <si>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</si>
  <si>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</si>
  <si>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</si>
  <si>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</si>
  <si>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</si>
  <si>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</si>
  <si>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</si>
  <si>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</si>
  <si>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nrenard75</t>
  </si>
  <si>
    <t>cmelysee</t>
  </si>
  <si>
    <t>lorentzmathias</t>
  </si>
  <si>
    <t>rickbath33</t>
  </si>
  <si>
    <t>spindocfrance</t>
  </si>
  <si>
    <t>pierre_perret01</t>
  </si>
  <si>
    <t>gerardfiloche</t>
  </si>
  <si>
    <t>miyel19</t>
  </si>
  <si>
    <t>pschydlowski</t>
  </si>
  <si>
    <t>Replies to</t>
  </si>
  <si>
    <t>MentionsInRetweet</t>
  </si>
  <si>
    <t>Mentions</t>
  </si>
  <si>
    <t>@CmElysee Bah oui des inÃ©galitÃ©s. Quand tu penses que certaines personnes  sont mises en examen et continuent Ã  exercer une fonction publique en se gavant avec notre fric...
#le5JeTravaillePas #greve5decembre https://t.co/cyQZSMAnTK</t>
  </si>
  <si>
    <t>@CmElysee Nous, le 5 dÃ©cembre, on travaille.Ras-le-Bol des nantis qui bidouillent via des SCI et se gavent sur l'argent public...
#le5JeTravaillePas #greve5decembre https://t.co/oXVqMUW6NV</t>
  </si>
  <si>
    <t>RT @nrenard75: @CmElysee Bah oui des inÃ©galitÃ©s. Quand tu penses que certaines personnes  sont mises en examen et continuent Ã  exercer uneâ€¦</t>
  </si>
  <si>
    <t>RT @nrenard75: @CmElysee Nous, le 5 dÃ©cembre, on travaille.Ras-le-Bol des nantis qui bidouillent via des SCI et se gavent sur l'argent publâ€¦</t>
  </si>
  <si>
    <t>Quand @gerardfiloche tacle le #Gouvernement, câ€™est juste Ã‰NORMEâ€¼ï¸âœŠ
Â«Il y a une volontÃ© #Politique de ne #PasLutter contre la #FraudeFiscaleÂ» #100Milliardsâ€¼ï¸
#MacronDestitution #GiletsJaunes #CitoyensEnColÃ¨re #5DÃ©cembre #Le5JeTravaillePas #GreveGenerale 
https://t.co/DdTOOBhkL3</t>
  </si>
  <si>
    <t>RT @LorentzMathias: Quand @gerardfiloche tacle le #Gouvernement, câ€™est juste Ã‰NORMEâ€¼ï¸âœŠ
Â«Il y a une volontÃ© #Politique de ne #PasLutter conâ€¦</t>
  </si>
  <si>
    <t>@PSchydlowski @miyel19 Telle est malheureusement la rÃ©alitÃ© aujourd'hui dans la France faÃ§on #LaREM ðŸ¥´. Pauvre France !
#greve5decembre
#5decembre #Retraites #Le5JeFaisGreve #le5JeTravaillePas</t>
  </si>
  <si>
    <t>RT @SpinDocFrance: @PSchydlowski @miyel19 Telle est malheureusement la rÃ©alitÃ© aujourd'hui dans la France faÃ§on #LaREM ðŸ¥´. Pauvre France !
#â€¦</t>
  </si>
  <si>
    <t>le5jetravaillepas greve5decembre</t>
  </si>
  <si>
    <t>gouvernement politique paslutter fraudefiscale 100milliards macrondestitution giletsjaunes citoyensencolã¨re 5dã©cembre le5jetravaillepas grevegenerale</t>
  </si>
  <si>
    <t>gouvernement politique paslutter</t>
  </si>
  <si>
    <t>larem greve5decembre 5decembre retraites le5jefaisgreve le5jetravaillepas</t>
  </si>
  <si>
    <t>larem</t>
  </si>
  <si>
    <t>https://pbs.twimg.com/media/EKKFomjXYAIwi-i.jpg</t>
  </si>
  <si>
    <t>https://pbs.twimg.com/media/EKJ4oh6WkAI-UAC.jpg</t>
  </si>
  <si>
    <t>https://pbs.twimg.com/media/EK5AeeiWwAEndgl.jpg</t>
  </si>
  <si>
    <t>http://pbs.twimg.com/profile_images/1044179426525761537/HcZurn5l_normal.jpg</t>
  </si>
  <si>
    <t>http://pbs.twimg.com/profile_images/721686527181504512/pXrfop2b_normal.jpg</t>
  </si>
  <si>
    <t>http://pbs.twimg.com/profile_images/1183534860033495040/Du8nVUdj_normal.jpg</t>
  </si>
  <si>
    <t>http://pbs.twimg.com/profile_images/1214647369574309888/zRsh3ygM_normal.jpg</t>
  </si>
  <si>
    <t>18:19:13</t>
  </si>
  <si>
    <t>17:22:22</t>
  </si>
  <si>
    <t>16:51:38</t>
  </si>
  <si>
    <t>16:51:40</t>
  </si>
  <si>
    <t>20:21:54</t>
  </si>
  <si>
    <t>15:50:21</t>
  </si>
  <si>
    <t>16:44:52</t>
  </si>
  <si>
    <t>12:03:47</t>
  </si>
  <si>
    <t>https://twitter.com/#!/nrenard75/status/1198667404244590592</t>
  </si>
  <si>
    <t>https://twitter.com/#!/nrenard75/status/1198653094999085056</t>
  </si>
  <si>
    <t>https://twitter.com/#!/cmelysee/status/1233796983464321027</t>
  </si>
  <si>
    <t>https://twitter.com/#!/cmelysee/status/1233796993744588800</t>
  </si>
  <si>
    <t>https://twitter.com/#!/lorentzmathias/status/1201959768614678530</t>
  </si>
  <si>
    <t>https://twitter.com/#!/rickbath33/status/1234143949226479617</t>
  </si>
  <si>
    <t>https://twitter.com/#!/spindocfrance/status/1198643658746191873</t>
  </si>
  <si>
    <t>https://twitter.com/#!/pierre_perret01/status/1234811709472333825</t>
  </si>
  <si>
    <t>1198667404244590592</t>
  </si>
  <si>
    <t>1198653094999085056</t>
  </si>
  <si>
    <t>1233796983464321027</t>
  </si>
  <si>
    <t>1233796993744588800</t>
  </si>
  <si>
    <t>1201959768614678530</t>
  </si>
  <si>
    <t>1234143949226479617</t>
  </si>
  <si>
    <t>1198643658746191873</t>
  </si>
  <si>
    <t>1234811709472333825</t>
  </si>
  <si>
    <t>1198230520544595969</t>
  </si>
  <si>
    <t>1198509023844286469</t>
  </si>
  <si>
    <t>613519689</t>
  </si>
  <si>
    <t/>
  </si>
  <si>
    <t>235910137</t>
  </si>
  <si>
    <t>fr</t>
  </si>
  <si>
    <t>Twitter for Android</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</si>
  <si>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</si>
  <si>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</si>
  <si>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</si>
  <si>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</si>
  <si>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</si>
  <si>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</si>
  <si>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</si>
  <si>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</si>
  <si>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</si>
  <si>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</si>
  <si>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</si>
  <si>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</si>
  <si>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</si>
  <si>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</si>
  <si>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</si>
  <si>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</si>
  <si>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</si>
  <si>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</si>
  <si>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</si>
  <si>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</si>
  <si>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</si>
  <si>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</si>
  <si>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</si>
  <si>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Nathalie Renard _xD83D__xDC1D__xD83D__xDC1D__xD83D__xDC1D__xD83D__xDC1D__xD83D__xDC1D_</t>
  </si>
  <si>
    <t>CMElysée</t>
  </si>
  <si>
    <t>Lorentz mathias</t>
  </si>
  <si>
    <t>Gerard Filoche</t>
  </si>
  <si>
    <t>Janus Stark</t>
  </si>
  <si>
    <t>Spin Doctor</t>
  </si>
  <si>
    <t>aljoscha steiner</t>
  </si>
  <si>
    <t>pierre pere</t>
  </si>
  <si>
    <t>Pierre Schydlowski</t>
  </si>
  <si>
    <t>Avocat des fromages battus et des crèmes fouettées dans la chambre à laitage. Fille cachée de Patrick Balkany et Christine Boutin</t>
  </si>
  <si>
    <t>Communicant gaulois réfractaire.Compte parodique mais presque</t>
  </si>
  <si>
    <t>#GiletsJaunes #CitoyenEnColère AntiPrivatisation #Adp #Engie #Fdj et les autres... Je lutte, donc Je suis...(pacifiquement) _xD83D__xDE09_</t>
  </si>
  <si>
    <t>Gauche democratique et sociale (http://GDS-DS.org). Retraité apres 30 ans inspecteur du travail. Membre de la CGT, Attac, Copernic. http://www.filoche.net</t>
  </si>
  <si>
    <t>Pour être merveilleuse, la vie n'a pas a être parfaite!
Athée tout simplement !</t>
  </si>
  <si>
    <t>Neoliberalism, inequality, climate change skepticism.. kill.
LGBT+. 
Working in the medico-social field.
Reading, translating, movies, rpgs, music, hiking.</t>
  </si>
  <si>
    <t>Dispose toujours d'une place assise_xD83D__xDCBA_ avec fenêtre dans le sens ⏩ de la marche _xD83D__xDE9E_ _xD83D__xDE89_ _xD83C__xDDEB__xD83C__xDDF7_/_xD83C__xDDE9__xD83C__xDDEA_ _xD83C__xDF3F_</t>
  </si>
  <si>
    <t>paris</t>
  </si>
  <si>
    <t>Paris</t>
  </si>
  <si>
    <t>Bordeaux, France</t>
  </si>
  <si>
    <t>Somewhere in the rainbow</t>
  </si>
  <si>
    <t>Paris, France</t>
  </si>
  <si>
    <t>Martigues, France</t>
  </si>
  <si>
    <t>http://www.filoche.net/</t>
  </si>
  <si>
    <t>https://pbs.twimg.com/profile_banners/613519689/1500668724</t>
  </si>
  <si>
    <t>https://pbs.twimg.com/profile_banners/1044177722891808771/1573670288</t>
  </si>
  <si>
    <t>https://pbs.twimg.com/profile_banners/1083279881209896966/1548789242</t>
  </si>
  <si>
    <t>https://pbs.twimg.com/profile_banners/56107736/1454678216</t>
  </si>
  <si>
    <t>https://pbs.twimg.com/profile_banners/4857221537/1460898450</t>
  </si>
  <si>
    <t>https://pbs.twimg.com/profile_banners/1073187826982940672/1571011675</t>
  </si>
  <si>
    <t>https://pbs.twimg.com/profile_banners/54654020/1469084548</t>
  </si>
  <si>
    <t>https://pbs.twimg.com/profile_banners/1158415674487824384/1578429474</t>
  </si>
  <si>
    <t>https://pbs.twimg.com/profile_banners/235910137/1570652870</t>
  </si>
  <si>
    <t>http://abs.twimg.com/images/themes/theme1/bg.png</t>
  </si>
  <si>
    <t>http://abs.twimg.com/images/themes/theme2/bg.gif</t>
  </si>
  <si>
    <t>http://abs.twimg.com/images/themes/theme6/bg.gif</t>
  </si>
  <si>
    <t>http://pbs.twimg.com/profile_images/916011795130781697/0lsgMypo_normal.jpg</t>
  </si>
  <si>
    <t>http://pbs.twimg.com/profile_images/1095320618411716611/v0UuBB1__normal.jpg</t>
  </si>
  <si>
    <t>http://pbs.twimg.com/profile_images/309908907/filoche1_normal.jpg</t>
  </si>
  <si>
    <t>http://pbs.twimg.com/profile_images/893585019024920576/3C3HEeEO_normal.jpg</t>
  </si>
  <si>
    <t>http://pbs.twimg.com/profile_images/1202342217584709640/FtAWURYd_normal.jpg</t>
  </si>
  <si>
    <t>Open Twitter Page for This Person</t>
  </si>
  <si>
    <t>https://twitter.com/nrenard75</t>
  </si>
  <si>
    <t>https://twitter.com/cmelysee</t>
  </si>
  <si>
    <t>https://twitter.com/lorentzmathias</t>
  </si>
  <si>
    <t>https://twitter.com/gerardfiloche</t>
  </si>
  <si>
    <t>https://twitter.com/rickbath33</t>
  </si>
  <si>
    <t>https://twitter.com/spindocfrance</t>
  </si>
  <si>
    <t>https://twitter.com/miyel19</t>
  </si>
  <si>
    <t>https://twitter.com/pierre_perret01</t>
  </si>
  <si>
    <t>https://twitter.com/pschydlowski</t>
  </si>
  <si>
    <t>nrenard75
@CmElysee Nous, le 5 dÃ©cembre,
on travaille.Ras-le-Bol des nantis
qui bidouillent via des SCI et
se gavent sur l'argent public...
#le5JeTravaillePas #greve5decembre
https://t.co/oXVqMUW6NV</t>
  </si>
  <si>
    <t>cmelysee
RT @nrenard75: @CmElysee Nous,
le 5 dÃ©cembre, on travaille.Ras-le-Bol
des nantis qui bidouillent via
des SCI et se gavent sur l'argent
publâ€¦</t>
  </si>
  <si>
    <t>lorentzmathias
Quand @gerardfiloche tacle le #Gouvernement,
câ€™est juste Ã‰NORMEâ€¼ï¸âœŠ
Â«Il y a une volontÃ© #Politique
de ne #PasLutter contre la #FraudeFiscaleÂ»
#100Milliardsâ€¼ï¸ #MacronDestitution
#GiletsJaunes #CitoyensEnColÃ¨re
#5DÃ©cembre #Le5JeTravaillePas
#GreveGenerale https://t.co/DdTOOBhkL3</t>
  </si>
  <si>
    <t xml:space="preserve">gerardfiloche
</t>
  </si>
  <si>
    <t>rickbath33
RT @LorentzMathias: Quand @gerardfiloche
tacle le #Gouvernement, câ€™est
juste Ã‰NORMEâ€¼ï¸âœŠ Â«Il y a
une volontÃ© #Politique de ne #PasLutter
conâ€¦</t>
  </si>
  <si>
    <t>spindocfrance
@PSchydlowski @miyel19 Telle est
malheureusement la rÃ©alitÃ© aujourd'hui
dans la France faÃ§on #LaREM ðŸ¥´.
Pauvre France ! #greve5decembre
#5decembre #Retraites #Le5JeFaisGreve
#le5JeTravaillePas</t>
  </si>
  <si>
    <t xml:space="preserve">miyel19
</t>
  </si>
  <si>
    <t>pierre_perret01
RT @SpinDocFrance: @PSchydlowski
@miyel19 Telle est malheureusement
la rÃ©alitÃ© aujourd'hui dans la
France faÃ§on #LaREM ðŸ¥´. Pauvre
France ! #â€¦</t>
  </si>
  <si>
    <t xml:space="preserve">pschydlowski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</si>
  <si>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</si>
  <si>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</si>
  <si>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</si>
  <si>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</si>
  <si>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</si>
  <si>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</si>
  <si>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</si>
  <si>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</si>
  <si>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</si>
  <si>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</si>
  <si>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</si>
  <si>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</si>
  <si>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</si>
  <si>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</si>
  <si>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</si>
  <si>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</si>
  <si>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</si>
  <si>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</si>
  <si>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</si>
  <si>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</si>
  <si>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</si>
  <si>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</si>
  <si>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</si>
  <si>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</si>
  <si>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</si>
  <si>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</si>
  <si>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</si>
  <si>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</si>
  <si>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</si>
  <si>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</si>
  <si>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</si>
  <si>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</si>
  <si>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</si>
  <si>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</si>
  <si>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</si>
  <si>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</si>
  <si>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</si>
  <si>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</si>
  <si>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</si>
  <si>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</si>
  <si>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</si>
  <si>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</si>
  <si>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</si>
  <si>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</si>
  <si>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</si>
  <si>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</si>
  <si>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</si>
  <si>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Top URLs in Tweet</t>
  </si>
  <si>
    <t>Count of Tweet Date (UTC)</t>
  </si>
  <si>
    <t>Row Labels</t>
  </si>
  <si>
    <t>Grand Total</t>
  </si>
  <si>
    <t>Red</t>
  </si>
  <si>
    <t>128, 128, 128</t>
  </si>
  <si>
    <t>Autofill Workbook Results</t>
  </si>
  <si>
    <t>Edge Weight▓1▓1▓0▓True▓Gray▓Red▓▓Edge Weight▓1▓1▓0▓3▓10▓False▓Edge Weight▓1▓1▓0▓35▓12▓False▓▓0▓0▓0▓True▓Black▓Black▓▓▓0▓0▓0▓0▓0▓False▓▓0▓0▓0▓0▓0▓False▓▓0▓0▓0▓0▓0▓False▓▓0▓0▓0▓0▓0▓False</t>
  </si>
  <si>
    <t>GraphSource░GraphServerTwitterSearch▓GraphTerm░#le5JeTravaillePas▓ImportDescription░The graph represents a network of 9 Twitter users whose tweets in the requested range contained "#le5JeTravaillePas", or who were replied to or mentioned in those tweets.  The network was obtained from the NodeXL Graph Server on Saturday, 14 March 2020 at 10:15 UTC.
The requested start date was Saturday, 14 March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</si>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</sst>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3">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9114068"/>
        <c:axId val="39373429"/>
      </c:barChart>
      <c:catAx>
        <c:axId val="491140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373429"/>
        <c:crosses val="autoZero"/>
        <c:auto val="1"/>
        <c:lblOffset val="100"/>
        <c:noMultiLvlLbl val="0"/>
      </c:catAx>
      <c:valAx>
        <c:axId val="39373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4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#le5JeTravaillePas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11/24/2019 16:44</c:v>
                </c:pt>
                <c:pt idx="1">
                  <c:v>11/24/2019 17:22</c:v>
                </c:pt>
                <c:pt idx="2">
                  <c:v>11/24/2019 18:19</c:v>
                </c:pt>
                <c:pt idx="3">
                  <c:v>12/3/2019 20:21</c:v>
                </c:pt>
                <c:pt idx="4">
                  <c:v>2/29/2020 16:51</c:v>
                </c:pt>
                <c:pt idx="5">
                  <c:v>2/29/2020 16:51</c:v>
                </c:pt>
                <c:pt idx="6">
                  <c:v>3/1/2020 15:50</c:v>
                </c:pt>
                <c:pt idx="7">
                  <c:v>3/3/2020 12:03</c:v>
                </c:pt>
              </c:strCache>
            </c:strRef>
          </c:cat>
          <c:val>
            <c:numRef>
              <c:f>'Time Series'!$B$26:$B$34</c:f>
              <c:numCache>
                <c:formatCode>General</c:formatCode>
                <c:ptCount val="8"/>
                <c:pt idx="0">
                  <c:v>2</c:v>
                </c:pt>
                <c:pt idx="1">
                  <c:v>1</c:v>
                </c:pt>
                <c:pt idx="2">
                  <c:v>1</c:v>
                </c:pt>
                <c:pt idx="3">
                  <c:v>1</c:v>
                </c:pt>
                <c:pt idx="4">
                  <c:v>1</c:v>
                </c:pt>
                <c:pt idx="5">
                  <c:v>1</c:v>
                </c:pt>
                <c:pt idx="6">
                  <c:v>2</c:v>
                </c:pt>
                <c:pt idx="7">
                  <c:v>3</c:v>
                </c:pt>
              </c:numCache>
            </c:numRef>
          </c:val>
        </c:ser>
        <c:axId val="29440238"/>
        <c:axId val="63635551"/>
      </c:barChart>
      <c:catAx>
        <c:axId val="29440238"/>
        <c:scaling>
          <c:orientation val="minMax"/>
        </c:scaling>
        <c:axPos val="b"/>
        <c:delete val="0"/>
        <c:numFmt formatCode="General" sourceLinked="1"/>
        <c:majorTickMark val="out"/>
        <c:minorTickMark val="none"/>
        <c:tickLblPos val="nextTo"/>
        <c:crossAx val="63635551"/>
        <c:crosses val="autoZero"/>
        <c:auto val="1"/>
        <c:lblOffset val="100"/>
        <c:noMultiLvlLbl val="0"/>
      </c:catAx>
      <c:valAx>
        <c:axId val="63635551"/>
        <c:scaling>
          <c:orientation val="minMax"/>
        </c:scaling>
        <c:axPos val="l"/>
        <c:majorGridlines/>
        <c:delete val="0"/>
        <c:numFmt formatCode="General" sourceLinked="1"/>
        <c:majorTickMark val="out"/>
        <c:minorTickMark val="none"/>
        <c:tickLblPos val="nextTo"/>
        <c:crossAx val="294402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8816542"/>
        <c:axId val="35131151"/>
      </c:barChart>
      <c:catAx>
        <c:axId val="188165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131151"/>
        <c:crosses val="autoZero"/>
        <c:auto val="1"/>
        <c:lblOffset val="100"/>
        <c:noMultiLvlLbl val="0"/>
      </c:catAx>
      <c:valAx>
        <c:axId val="35131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16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7744904"/>
        <c:axId val="27050953"/>
      </c:barChart>
      <c:catAx>
        <c:axId val="477449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050953"/>
        <c:crosses val="autoZero"/>
        <c:auto val="1"/>
        <c:lblOffset val="100"/>
        <c:noMultiLvlLbl val="0"/>
      </c:catAx>
      <c:valAx>
        <c:axId val="27050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44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2131986"/>
        <c:axId val="43643555"/>
      </c:barChart>
      <c:catAx>
        <c:axId val="421319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643555"/>
        <c:crosses val="autoZero"/>
        <c:auto val="1"/>
        <c:lblOffset val="100"/>
        <c:noMultiLvlLbl val="0"/>
      </c:catAx>
      <c:valAx>
        <c:axId val="43643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31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7247676"/>
        <c:axId val="45467037"/>
      </c:barChart>
      <c:catAx>
        <c:axId val="572476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467037"/>
        <c:crosses val="autoZero"/>
        <c:auto val="1"/>
        <c:lblOffset val="100"/>
        <c:noMultiLvlLbl val="0"/>
      </c:catAx>
      <c:valAx>
        <c:axId val="45467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47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550150"/>
        <c:axId val="58951351"/>
      </c:barChart>
      <c:catAx>
        <c:axId val="65501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951351"/>
        <c:crosses val="autoZero"/>
        <c:auto val="1"/>
        <c:lblOffset val="100"/>
        <c:noMultiLvlLbl val="0"/>
      </c:catAx>
      <c:valAx>
        <c:axId val="58951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0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0800112"/>
        <c:axId val="10330097"/>
      </c:barChart>
      <c:catAx>
        <c:axId val="608001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330097"/>
        <c:crosses val="autoZero"/>
        <c:auto val="1"/>
        <c:lblOffset val="100"/>
        <c:noMultiLvlLbl val="0"/>
      </c:catAx>
      <c:valAx>
        <c:axId val="10330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0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5862010"/>
        <c:axId val="31431499"/>
      </c:barChart>
      <c:catAx>
        <c:axId val="258620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431499"/>
        <c:crosses val="autoZero"/>
        <c:auto val="1"/>
        <c:lblOffset val="100"/>
        <c:noMultiLvlLbl val="0"/>
      </c:catAx>
      <c:valAx>
        <c:axId val="31431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62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4448036"/>
        <c:axId val="62923461"/>
      </c:barChart>
      <c:catAx>
        <c:axId val="14448036"/>
        <c:scaling>
          <c:orientation val="minMax"/>
        </c:scaling>
        <c:axPos val="b"/>
        <c:delete val="1"/>
        <c:majorTickMark val="out"/>
        <c:minorTickMark val="none"/>
        <c:tickLblPos val="none"/>
        <c:crossAx val="62923461"/>
        <c:crosses val="autoZero"/>
        <c:auto val="1"/>
        <c:lblOffset val="100"/>
        <c:noMultiLvlLbl val="0"/>
      </c:catAx>
      <c:valAx>
        <c:axId val="62923461"/>
        <c:scaling>
          <c:orientation val="minMax"/>
        </c:scaling>
        <c:axPos val="l"/>
        <c:delete val="1"/>
        <c:majorTickMark val="out"/>
        <c:minorTickMark val="none"/>
        <c:tickLblPos val="none"/>
        <c:crossAx val="144480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E14"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6">
        <s v="le5jetravaillepas greve5decembre"/>
        <m/>
        <s v="gouvernement politique paslutter fraudefiscale 100milliards macrondestitution giletsjaunes citoyensencolã¨re 5dã©cembre le5jetravaillepas grevegenerale"/>
        <s v="gouvernement politique paslutter"/>
        <s v="larem greve5decembre 5decembre retraites le5jefaisgreve le5jetravaillepas"/>
        <s v="lare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19-11-24T18:19:13.000"/>
        <d v="2019-11-24T17:22:22.000"/>
        <d v="2020-02-29T16:51:38.000"/>
        <d v="2020-02-29T16:51:40.000"/>
        <d v="2019-12-03T20:21:54.000"/>
        <d v="2020-03-01T15:50:21.000"/>
        <d v="2019-11-24T16:44:52.000"/>
        <d v="2020-03-03T12:03:4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nrenard75"/>
    <s v="cmelysee"/>
    <m/>
    <m/>
    <m/>
    <m/>
    <m/>
    <m/>
    <m/>
    <m/>
    <s v="Yes"/>
    <n v="3"/>
    <m/>
    <m/>
    <x v="0"/>
    <d v="2019-11-24T18:19:13.000"/>
    <s v="@CmElysee Bah oui des inÃ©galitÃ©s. Quand tu penses que certaines personnes  sont mises en examen et continuent Ã  exercer une fonction publique en se gavant avec notre fric..._x000a_#le5JeTravaillePas #greve5decembre https://t.co/cyQZSMAnTK"/>
    <m/>
    <m/>
    <x v="0"/>
    <s v="https://pbs.twimg.com/media/EKKFomjXYAIwi-i.jpg"/>
    <s v="https://pbs.twimg.com/media/EKKFomjXYAIwi-i.jpg"/>
    <x v="0"/>
    <d v="2019-11-24T00:00:00.000"/>
    <s v="18:19:13"/>
    <s v="https://twitter.com/#!/nrenard75/status/1198667404244590592"/>
    <m/>
    <m/>
    <s v="1198667404244590592"/>
    <s v="1198653094999085056"/>
    <b v="0"/>
    <n v="36"/>
    <s v="613519689"/>
    <b v="0"/>
    <s v="fr"/>
    <m/>
    <s v=""/>
    <b v="0"/>
    <n v="84"/>
    <s v=""/>
    <s v="Twitter for Android"/>
    <b v="0"/>
    <s v="1198653094999085056"/>
    <s v="Retweet"/>
    <n v="0"/>
    <n v="0"/>
    <m/>
    <m/>
    <m/>
    <m/>
    <m/>
    <m/>
    <m/>
    <m/>
    <n v="2"/>
    <s v="3"/>
    <s v="3"/>
  </r>
  <r>
    <s v="nrenard75"/>
    <s v="cmelysee"/>
    <m/>
    <m/>
    <m/>
    <m/>
    <m/>
    <m/>
    <m/>
    <m/>
    <s v="Yes"/>
    <n v="4"/>
    <m/>
    <m/>
    <x v="0"/>
    <d v="2019-11-24T17:22:22.000"/>
    <s v="@CmElysee Nous, le 5 dÃ©cembre, on travaille.Ras-le-Bol des nantis qui bidouillent via des SCI et se gavent sur l'argent public..._x000a_#le5JeTravaillePas #greve5decembre https://t.co/oXVqMUW6NV"/>
    <m/>
    <m/>
    <x v="0"/>
    <s v="https://pbs.twimg.com/media/EKJ4oh6WkAI-UAC.jpg"/>
    <s v="https://pbs.twimg.com/media/EKJ4oh6WkAI-UAC.jpg"/>
    <x v="1"/>
    <d v="2019-11-24T00:00:00.000"/>
    <s v="17:22:22"/>
    <s v="https://twitter.com/#!/nrenard75/status/1198653094999085056"/>
    <m/>
    <m/>
    <s v="1198653094999085056"/>
    <s v="1198230520544595969"/>
    <b v="0"/>
    <n v="31"/>
    <s v="613519689"/>
    <b v="0"/>
    <s v="fr"/>
    <m/>
    <s v=""/>
    <b v="0"/>
    <n v="70"/>
    <s v=""/>
    <s v="Twitter for Android"/>
    <b v="0"/>
    <s v="1198230520544595969"/>
    <s v="Retweet"/>
    <n v="0"/>
    <n v="0"/>
    <m/>
    <m/>
    <m/>
    <m/>
    <m/>
    <m/>
    <m/>
    <m/>
    <n v="2"/>
    <s v="3"/>
    <s v="3"/>
  </r>
  <r>
    <s v="cmelysee"/>
    <s v="nrenard75"/>
    <m/>
    <m/>
    <m/>
    <m/>
    <m/>
    <m/>
    <m/>
    <m/>
    <s v="Yes"/>
    <n v="5"/>
    <m/>
    <m/>
    <x v="1"/>
    <d v="2020-02-29T16:51:38.000"/>
    <s v="RT @nrenard75: @CmElysee Bah oui des inÃ©galitÃ©s. Quand tu penses que certaines personnes  sont mises en examen et continuent Ã  exercer uneâ€¦"/>
    <m/>
    <m/>
    <x v="1"/>
    <m/>
    <s v="http://pbs.twimg.com/profile_images/1044179426525761537/HcZurn5l_normal.jpg"/>
    <x v="2"/>
    <d v="2020-02-29T00:00:00.000"/>
    <s v="16:51:38"/>
    <s v="https://twitter.com/#!/cmelysee/status/1233796983464321027"/>
    <m/>
    <m/>
    <s v="1233796983464321027"/>
    <m/>
    <b v="0"/>
    <n v="0"/>
    <s v=""/>
    <b v="0"/>
    <s v="fr"/>
    <m/>
    <s v=""/>
    <b v="0"/>
    <n v="84"/>
    <s v="1198667404244590592"/>
    <s v="Twitter for Android"/>
    <b v="0"/>
    <s v="1198667404244590592"/>
    <s v="Tweet"/>
    <n v="0"/>
    <n v="0"/>
    <m/>
    <m/>
    <m/>
    <m/>
    <m/>
    <m/>
    <m/>
    <m/>
    <n v="2"/>
    <s v="3"/>
    <s v="3"/>
  </r>
  <r>
    <s v="cmelysee"/>
    <s v="nrenard75"/>
    <m/>
    <m/>
    <m/>
    <m/>
    <m/>
    <m/>
    <m/>
    <m/>
    <s v="Yes"/>
    <n v="6"/>
    <m/>
    <m/>
    <x v="1"/>
    <d v="2020-02-29T16:51:40.000"/>
    <s v="RT @nrenard75: @CmElysee Nous, le 5 dÃ©cembre, on travaille.Ras-le-Bol des nantis qui bidouillent via des SCI et se gavent sur l'argent publâ€¦"/>
    <m/>
    <m/>
    <x v="1"/>
    <m/>
    <s v="http://pbs.twimg.com/profile_images/1044179426525761537/HcZurn5l_normal.jpg"/>
    <x v="3"/>
    <d v="2020-02-29T00:00:00.000"/>
    <s v="16:51:40"/>
    <s v="https://twitter.com/#!/cmelysee/status/1233796993744588800"/>
    <m/>
    <m/>
    <s v="1233796993744588800"/>
    <m/>
    <b v="0"/>
    <n v="0"/>
    <s v=""/>
    <b v="0"/>
    <s v="fr"/>
    <m/>
    <s v=""/>
    <b v="0"/>
    <n v="70"/>
    <s v="1198653094999085056"/>
    <s v="Twitter for Android"/>
    <b v="0"/>
    <s v="1198653094999085056"/>
    <s v="Tweet"/>
    <n v="0"/>
    <n v="0"/>
    <m/>
    <m/>
    <m/>
    <m/>
    <m/>
    <m/>
    <m/>
    <m/>
    <n v="2"/>
    <s v="3"/>
    <s v="3"/>
  </r>
  <r>
    <s v="lorentzmathias"/>
    <s v="gerardfiloche"/>
    <m/>
    <m/>
    <m/>
    <m/>
    <m/>
    <m/>
    <m/>
    <m/>
    <s v="No"/>
    <n v="7"/>
    <m/>
    <m/>
    <x v="2"/>
    <d v="2019-12-03T20:21:54.000"/>
    <s v="Quand @gerardfiloche tacle le #Gouvernement, câ€™est juste Ã‰NORMEâ€¼ï¸âœŠ_x000a__x000a_Â«Il y a une volontÃ© #Politique de ne #PasLutter contre la #FraudeFiscaleÂ» #100Milliardsâ€¼ï¸_x000a__x000a_#MacronDestitution #GiletsJaunes #CitoyensEnColÃ¨re #5DÃ©cembre #Le5JeTravaillePas #GreveGenerale _x000a_https://t.co/DdTOOBhkL3"/>
    <m/>
    <m/>
    <x v="2"/>
    <s v="https://pbs.twimg.com/media/EK5AeeiWwAEndgl.jpg"/>
    <s v="https://pbs.twimg.com/media/EK5AeeiWwAEndgl.jpg"/>
    <x v="4"/>
    <d v="2019-12-03T00:00:00.000"/>
    <s v="20:21:54"/>
    <s v="https://twitter.com/#!/lorentzmathias/status/1201959768614678530"/>
    <m/>
    <m/>
    <s v="1201959768614678530"/>
    <m/>
    <b v="0"/>
    <n v="662"/>
    <s v=""/>
    <b v="0"/>
    <s v="fr"/>
    <m/>
    <s v=""/>
    <b v="0"/>
    <n v="534"/>
    <s v=""/>
    <s v="Twitter for iPhone"/>
    <b v="0"/>
    <s v="1201959768614678530"/>
    <s v="Retweet"/>
    <n v="0"/>
    <n v="0"/>
    <m/>
    <m/>
    <m/>
    <m/>
    <m/>
    <m/>
    <m/>
    <m/>
    <n v="1"/>
    <s v="2"/>
    <s v="2"/>
  </r>
  <r>
    <s v="rickbath33"/>
    <s v="gerardfiloche"/>
    <m/>
    <m/>
    <m/>
    <m/>
    <m/>
    <m/>
    <m/>
    <m/>
    <s v="No"/>
    <n v="8"/>
    <m/>
    <m/>
    <x v="1"/>
    <d v="2020-03-01T15:50:21.000"/>
    <s v="RT @LorentzMathias: Quand @gerardfiloche tacle le #Gouvernement, câ€™est juste Ã‰NORMEâ€¼ï¸âœŠ_x000a__x000a_Â«Il y a une volontÃ© #Politique de ne #PasLutter conâ€¦"/>
    <m/>
    <m/>
    <x v="3"/>
    <m/>
    <s v="http://pbs.twimg.com/profile_images/721686527181504512/pXrfop2b_normal.jpg"/>
    <x v="5"/>
    <d v="2020-03-01T00:00:00.000"/>
    <s v="15:50:21"/>
    <s v="https://twitter.com/#!/rickbath33/status/1234143949226479617"/>
    <m/>
    <m/>
    <s v="1234143949226479617"/>
    <m/>
    <b v="0"/>
    <n v="0"/>
    <s v=""/>
    <b v="0"/>
    <s v="fr"/>
    <m/>
    <s v=""/>
    <b v="0"/>
    <n v="534"/>
    <s v="1201959768614678530"/>
    <s v="Twitter for Android"/>
    <b v="0"/>
    <s v="1201959768614678530"/>
    <s v="Tweet"/>
    <n v="0"/>
    <n v="0"/>
    <m/>
    <m/>
    <m/>
    <m/>
    <m/>
    <m/>
    <m/>
    <m/>
    <n v="1"/>
    <s v="2"/>
    <s v="2"/>
  </r>
  <r>
    <s v="rickbath33"/>
    <s v="lorentzmathias"/>
    <m/>
    <m/>
    <m/>
    <m/>
    <m/>
    <m/>
    <m/>
    <m/>
    <s v="No"/>
    <n v="9"/>
    <m/>
    <m/>
    <x v="1"/>
    <d v="2020-03-01T15:50:21.000"/>
    <s v="RT @LorentzMathias: Quand @gerardfiloche tacle le #Gouvernement, câ€™est juste Ã‰NORMEâ€¼ï¸âœŠ_x000a__x000a_Â«Il y a une volontÃ© #Politique de ne #PasLutter conâ€¦"/>
    <m/>
    <m/>
    <x v="3"/>
    <m/>
    <s v="http://pbs.twimg.com/profile_images/721686527181504512/pXrfop2b_normal.jpg"/>
    <x v="5"/>
    <d v="2020-03-01T00:00:00.000"/>
    <s v="15:50:21"/>
    <s v="https://twitter.com/#!/rickbath33/status/1234143949226479617"/>
    <m/>
    <m/>
    <s v="1234143949226479617"/>
    <m/>
    <b v="0"/>
    <n v="0"/>
    <s v=""/>
    <b v="0"/>
    <s v="fr"/>
    <m/>
    <s v=""/>
    <b v="0"/>
    <n v="534"/>
    <s v="1201959768614678530"/>
    <s v="Twitter for Android"/>
    <b v="0"/>
    <s v="1201959768614678530"/>
    <s v="Tweet"/>
    <n v="0"/>
    <n v="0"/>
    <m/>
    <m/>
    <m/>
    <m/>
    <m/>
    <m/>
    <m/>
    <m/>
    <n v="1"/>
    <s v="2"/>
    <s v="2"/>
  </r>
  <r>
    <s v="spindocfrance"/>
    <s v="miyel19"/>
    <m/>
    <m/>
    <m/>
    <m/>
    <m/>
    <m/>
    <m/>
    <m/>
    <s v="No"/>
    <n v="10"/>
    <m/>
    <m/>
    <x v="2"/>
    <d v="2019-11-24T16:44:52.000"/>
    <s v="@PSchydlowski @miyel19 Telle est malheureusement la rÃ©alitÃ© aujourd'hui dans la France faÃ§on #LaREM ðŸ¥´. Pauvre France !_x000a_#greve5decembre_x000a_#5decembre #Retraites #Le5JeFaisGreve #le5JeTravaillePas"/>
    <m/>
    <m/>
    <x v="4"/>
    <m/>
    <s v="http://pbs.twimg.com/profile_images/1183534860033495040/Du8nVUdj_normal.jpg"/>
    <x v="6"/>
    <d v="2019-11-24T00:00:00.000"/>
    <s v="16:44:52"/>
    <s v="https://twitter.com/#!/spindocfrance/status/1198643658746191873"/>
    <m/>
    <m/>
    <s v="1198643658746191873"/>
    <s v="1198509023844286469"/>
    <b v="0"/>
    <n v="2"/>
    <s v="235910137"/>
    <b v="0"/>
    <s v="fr"/>
    <m/>
    <s v=""/>
    <b v="0"/>
    <n v="2"/>
    <s v=""/>
    <s v="Twitter for Android"/>
    <b v="0"/>
    <s v="1198509023844286469"/>
    <s v="Retweet"/>
    <n v="0"/>
    <n v="0"/>
    <m/>
    <m/>
    <m/>
    <m/>
    <m/>
    <m/>
    <m/>
    <m/>
    <n v="1"/>
    <s v="1"/>
    <s v="1"/>
  </r>
  <r>
    <s v="pierre_perret01"/>
    <s v="miyel19"/>
    <m/>
    <m/>
    <m/>
    <m/>
    <m/>
    <m/>
    <m/>
    <m/>
    <s v="No"/>
    <n v="11"/>
    <m/>
    <m/>
    <x v="1"/>
    <d v="2020-03-03T12:03:47.000"/>
    <s v="RT @SpinDocFrance: @PSchydlowski @miyel19 Telle est malheureusement la rÃ©alitÃ© aujourd'hui dans la France faÃ§on #LaREM ðŸ¥´. Pauvre France !_x000a_#â€¦"/>
    <m/>
    <m/>
    <x v="5"/>
    <m/>
    <s v="http://pbs.twimg.com/profile_images/1214647369574309888/zRsh3ygM_normal.jpg"/>
    <x v="7"/>
    <d v="2020-03-03T00:00:00.000"/>
    <s v="12:03:47"/>
    <s v="https://twitter.com/#!/pierre_perret01/status/1234811709472333825"/>
    <m/>
    <m/>
    <s v="1234811709472333825"/>
    <m/>
    <b v="0"/>
    <n v="0"/>
    <s v=""/>
    <b v="0"/>
    <s v="fr"/>
    <m/>
    <s v=""/>
    <b v="0"/>
    <n v="2"/>
    <s v="1198643658746191873"/>
    <s v="Twitter for Android"/>
    <b v="0"/>
    <s v="1198643658746191873"/>
    <s v="Tweet"/>
    <n v="0"/>
    <n v="0"/>
    <m/>
    <m/>
    <m/>
    <m/>
    <m/>
    <m/>
    <m/>
    <m/>
    <n v="1"/>
    <s v="1"/>
    <s v="1"/>
  </r>
  <r>
    <s v="spindocfrance"/>
    <s v="pschydlowski"/>
    <m/>
    <m/>
    <m/>
    <m/>
    <m/>
    <m/>
    <m/>
    <m/>
    <s v="No"/>
    <n v="12"/>
    <m/>
    <m/>
    <x v="0"/>
    <d v="2019-11-24T16:44:52.000"/>
    <s v="@PSchydlowski @miyel19 Telle est malheureusement la rÃ©alitÃ© aujourd'hui dans la France faÃ§on #LaREM ðŸ¥´. Pauvre France !_x000a_#greve5decembre_x000a_#5decembre #Retraites #Le5JeFaisGreve #le5JeTravaillePas"/>
    <m/>
    <m/>
    <x v="4"/>
    <m/>
    <s v="http://pbs.twimg.com/profile_images/1183534860033495040/Du8nVUdj_normal.jpg"/>
    <x v="6"/>
    <d v="2019-11-24T00:00:00.000"/>
    <s v="16:44:52"/>
    <s v="https://twitter.com/#!/spindocfrance/status/1198643658746191873"/>
    <m/>
    <m/>
    <s v="1198643658746191873"/>
    <s v="1198509023844286469"/>
    <b v="0"/>
    <n v="2"/>
    <s v="235910137"/>
    <b v="0"/>
    <s v="fr"/>
    <m/>
    <s v=""/>
    <b v="0"/>
    <n v="2"/>
    <s v=""/>
    <s v="Twitter for Android"/>
    <b v="0"/>
    <s v="1198509023844286469"/>
    <s v="Retweet"/>
    <n v="0"/>
    <n v="0"/>
    <m/>
    <m/>
    <m/>
    <m/>
    <m/>
    <m/>
    <m/>
    <m/>
    <n v="1"/>
    <s v="1"/>
    <s v="1"/>
  </r>
  <r>
    <s v="pierre_perret01"/>
    <s v="pschydlowski"/>
    <m/>
    <m/>
    <m/>
    <m/>
    <m/>
    <m/>
    <m/>
    <m/>
    <s v="No"/>
    <n v="13"/>
    <m/>
    <m/>
    <x v="1"/>
    <d v="2020-03-03T12:03:47.000"/>
    <s v="RT @SpinDocFrance: @PSchydlowski @miyel19 Telle est malheureusement la rÃ©alitÃ© aujourd'hui dans la France faÃ§on #LaREM ðŸ¥´. Pauvre France !_x000a_#â€¦"/>
    <m/>
    <m/>
    <x v="5"/>
    <m/>
    <s v="http://pbs.twimg.com/profile_images/1214647369574309888/zRsh3ygM_normal.jpg"/>
    <x v="7"/>
    <d v="2020-03-03T00:00:00.000"/>
    <s v="12:03:47"/>
    <s v="https://twitter.com/#!/pierre_perret01/status/1234811709472333825"/>
    <m/>
    <m/>
    <s v="1234811709472333825"/>
    <m/>
    <b v="0"/>
    <n v="0"/>
    <s v=""/>
    <b v="0"/>
    <s v="fr"/>
    <m/>
    <s v=""/>
    <b v="0"/>
    <n v="2"/>
    <s v="1198643658746191873"/>
    <s v="Twitter for Android"/>
    <b v="0"/>
    <s v="1198643658746191873"/>
    <s v="Tweet"/>
    <n v="0"/>
    <n v="0"/>
    <m/>
    <m/>
    <m/>
    <m/>
    <m/>
    <m/>
    <m/>
    <m/>
    <n v="1"/>
    <s v="1"/>
    <s v="1"/>
  </r>
  <r>
    <s v="pierre_perret01"/>
    <s v="spindocfrance"/>
    <m/>
    <m/>
    <m/>
    <m/>
    <m/>
    <m/>
    <m/>
    <m/>
    <s v="No"/>
    <n v="14"/>
    <m/>
    <m/>
    <x v="1"/>
    <d v="2020-03-03T12:03:47.000"/>
    <s v="RT @SpinDocFrance: @PSchydlowski @miyel19 Telle est malheureusement la rÃ©alitÃ© aujourd'hui dans la France faÃ§on #LaREM ðŸ¥´. Pauvre France !_x000a_#â€¦"/>
    <m/>
    <m/>
    <x v="5"/>
    <m/>
    <s v="http://pbs.twimg.com/profile_images/1214647369574309888/zRsh3ygM_normal.jpg"/>
    <x v="7"/>
    <d v="2020-03-03T00:00:00.000"/>
    <s v="12:03:47"/>
    <s v="https://twitter.com/#!/pierre_perret01/status/1234811709472333825"/>
    <m/>
    <m/>
    <s v="1234811709472333825"/>
    <m/>
    <b v="0"/>
    <n v="0"/>
    <s v=""/>
    <b v="0"/>
    <s v="fr"/>
    <m/>
    <s v=""/>
    <b v="0"/>
    <n v="2"/>
    <s v="1198643658746191873"/>
    <s v="Twitter for Android"/>
    <b v="0"/>
    <s v="1198643658746191873"/>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6"/>
        <item x="1"/>
        <item x="0"/>
        <item x="4"/>
        <item x="2"/>
        <item x="3"/>
        <item x="5"/>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6">
        <i x="3" s="1"/>
        <i x="2" s="1"/>
        <i x="5" s="1"/>
        <i x="4"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14" totalsRowShown="0" headerRowDxfId="219" dataDxfId="218">
  <autoFilter ref="A2:BE14"/>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11" totalsRowShown="0" headerRowDxfId="164" dataDxfId="163">
  <autoFilter ref="A2:AZ11"/>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78"/>
    <tableColumn id="52"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5" totalsRowShown="0" headerRowDxfId="112">
  <autoFilter ref="A2:Y5"/>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109" dataDxfId="108">
  <autoFilter ref="A1:C10"/>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14" totalsRowShown="0" headerRowDxfId="57" dataDxfId="56">
  <autoFilter ref="A2:BE14"/>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EKKFomjXYAIwi-i.jpg" TargetMode="External" /><Relationship Id="rId2" Type="http://schemas.openxmlformats.org/officeDocument/2006/relationships/hyperlink" Target="https://pbs.twimg.com/media/EKJ4oh6WkAI-UAC.jpg" TargetMode="External" /><Relationship Id="rId3" Type="http://schemas.openxmlformats.org/officeDocument/2006/relationships/hyperlink" Target="https://pbs.twimg.com/media/EK5AeeiWwAEndgl.jpg" TargetMode="External" /><Relationship Id="rId4" Type="http://schemas.openxmlformats.org/officeDocument/2006/relationships/hyperlink" Target="https://pbs.twimg.com/media/EKKFomjXYAIwi-i.jpg" TargetMode="External" /><Relationship Id="rId5" Type="http://schemas.openxmlformats.org/officeDocument/2006/relationships/hyperlink" Target="https://pbs.twimg.com/media/EKJ4oh6WkAI-UAC.jpg" TargetMode="External" /><Relationship Id="rId6" Type="http://schemas.openxmlformats.org/officeDocument/2006/relationships/hyperlink" Target="http://pbs.twimg.com/profile_images/1044179426525761537/HcZurn5l_normal.jpg" TargetMode="External" /><Relationship Id="rId7" Type="http://schemas.openxmlformats.org/officeDocument/2006/relationships/hyperlink" Target="http://pbs.twimg.com/profile_images/1044179426525761537/HcZurn5l_normal.jpg" TargetMode="External" /><Relationship Id="rId8" Type="http://schemas.openxmlformats.org/officeDocument/2006/relationships/hyperlink" Target="https://pbs.twimg.com/media/EK5AeeiWwAEndgl.jpg" TargetMode="External" /><Relationship Id="rId9" Type="http://schemas.openxmlformats.org/officeDocument/2006/relationships/hyperlink" Target="http://pbs.twimg.com/profile_images/721686527181504512/pXrfop2b_normal.jpg" TargetMode="External" /><Relationship Id="rId10" Type="http://schemas.openxmlformats.org/officeDocument/2006/relationships/hyperlink" Target="http://pbs.twimg.com/profile_images/721686527181504512/pXrfop2b_normal.jpg" TargetMode="External" /><Relationship Id="rId11" Type="http://schemas.openxmlformats.org/officeDocument/2006/relationships/hyperlink" Target="http://pbs.twimg.com/profile_images/1183534860033495040/Du8nVUdj_normal.jpg" TargetMode="External" /><Relationship Id="rId12" Type="http://schemas.openxmlformats.org/officeDocument/2006/relationships/hyperlink" Target="http://pbs.twimg.com/profile_images/1214647369574309888/zRsh3ygM_normal.jpg" TargetMode="External" /><Relationship Id="rId13" Type="http://schemas.openxmlformats.org/officeDocument/2006/relationships/hyperlink" Target="http://pbs.twimg.com/profile_images/1183534860033495040/Du8nVUdj_normal.jpg" TargetMode="External" /><Relationship Id="rId14" Type="http://schemas.openxmlformats.org/officeDocument/2006/relationships/hyperlink" Target="http://pbs.twimg.com/profile_images/1214647369574309888/zRsh3ygM_normal.jpg" TargetMode="External" /><Relationship Id="rId15" Type="http://schemas.openxmlformats.org/officeDocument/2006/relationships/hyperlink" Target="http://pbs.twimg.com/profile_images/1214647369574309888/zRsh3ygM_normal.jpg" TargetMode="External" /><Relationship Id="rId16" Type="http://schemas.openxmlformats.org/officeDocument/2006/relationships/hyperlink" Target="https://twitter.com/#!/nrenard75/status/1198667404244590592" TargetMode="External" /><Relationship Id="rId17" Type="http://schemas.openxmlformats.org/officeDocument/2006/relationships/hyperlink" Target="https://twitter.com/#!/nrenard75/status/1198653094999085056" TargetMode="External" /><Relationship Id="rId18" Type="http://schemas.openxmlformats.org/officeDocument/2006/relationships/hyperlink" Target="https://twitter.com/#!/cmelysee/status/1233796983464321027" TargetMode="External" /><Relationship Id="rId19" Type="http://schemas.openxmlformats.org/officeDocument/2006/relationships/hyperlink" Target="https://twitter.com/#!/cmelysee/status/1233796993744588800" TargetMode="External" /><Relationship Id="rId20" Type="http://schemas.openxmlformats.org/officeDocument/2006/relationships/hyperlink" Target="https://twitter.com/#!/lorentzmathias/status/1201959768614678530" TargetMode="External" /><Relationship Id="rId21" Type="http://schemas.openxmlformats.org/officeDocument/2006/relationships/hyperlink" Target="https://twitter.com/#!/rickbath33/status/1234143949226479617" TargetMode="External" /><Relationship Id="rId22" Type="http://schemas.openxmlformats.org/officeDocument/2006/relationships/hyperlink" Target="https://twitter.com/#!/rickbath33/status/1234143949226479617" TargetMode="External" /><Relationship Id="rId23" Type="http://schemas.openxmlformats.org/officeDocument/2006/relationships/hyperlink" Target="https://twitter.com/#!/spindocfrance/status/1198643658746191873" TargetMode="External" /><Relationship Id="rId24" Type="http://schemas.openxmlformats.org/officeDocument/2006/relationships/hyperlink" Target="https://twitter.com/#!/pierre_perret01/status/1234811709472333825" TargetMode="External" /><Relationship Id="rId25" Type="http://schemas.openxmlformats.org/officeDocument/2006/relationships/hyperlink" Target="https://twitter.com/#!/spindocfrance/status/1198643658746191873" TargetMode="External" /><Relationship Id="rId26" Type="http://schemas.openxmlformats.org/officeDocument/2006/relationships/hyperlink" Target="https://twitter.com/#!/pierre_perret01/status/1234811709472333825" TargetMode="External" /><Relationship Id="rId27" Type="http://schemas.openxmlformats.org/officeDocument/2006/relationships/hyperlink" Target="https://twitter.com/#!/pierre_perret01/status/1234811709472333825" TargetMode="External" /><Relationship Id="rId28" Type="http://schemas.openxmlformats.org/officeDocument/2006/relationships/comments" Target="../comments1.xml" /><Relationship Id="rId29" Type="http://schemas.openxmlformats.org/officeDocument/2006/relationships/vmlDrawing" Target="../drawings/vmlDrawing1.vml" /><Relationship Id="rId30" Type="http://schemas.openxmlformats.org/officeDocument/2006/relationships/table" Target="../tables/table1.xml" /><Relationship Id="rId3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loche.net/" TargetMode="External" /><Relationship Id="rId2" Type="http://schemas.openxmlformats.org/officeDocument/2006/relationships/hyperlink" Target="https://pbs.twimg.com/profile_banners/613519689/1500668724" TargetMode="External" /><Relationship Id="rId3" Type="http://schemas.openxmlformats.org/officeDocument/2006/relationships/hyperlink" Target="https://pbs.twimg.com/profile_banners/1044177722891808771/1573670288" TargetMode="External" /><Relationship Id="rId4" Type="http://schemas.openxmlformats.org/officeDocument/2006/relationships/hyperlink" Target="https://pbs.twimg.com/profile_banners/1083279881209896966/1548789242" TargetMode="External" /><Relationship Id="rId5" Type="http://schemas.openxmlformats.org/officeDocument/2006/relationships/hyperlink" Target="https://pbs.twimg.com/profile_banners/56107736/1454678216" TargetMode="External" /><Relationship Id="rId6" Type="http://schemas.openxmlformats.org/officeDocument/2006/relationships/hyperlink" Target="https://pbs.twimg.com/profile_banners/4857221537/1460898450" TargetMode="External" /><Relationship Id="rId7" Type="http://schemas.openxmlformats.org/officeDocument/2006/relationships/hyperlink" Target="https://pbs.twimg.com/profile_banners/1073187826982940672/1571011675" TargetMode="External" /><Relationship Id="rId8" Type="http://schemas.openxmlformats.org/officeDocument/2006/relationships/hyperlink" Target="https://pbs.twimg.com/profile_banners/54654020/1469084548" TargetMode="External" /><Relationship Id="rId9" Type="http://schemas.openxmlformats.org/officeDocument/2006/relationships/hyperlink" Target="https://pbs.twimg.com/profile_banners/1158415674487824384/1578429474" TargetMode="External" /><Relationship Id="rId10" Type="http://schemas.openxmlformats.org/officeDocument/2006/relationships/hyperlink" Target="https://pbs.twimg.com/profile_banners/235910137/1570652870"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2/bg.gif"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6/bg.gif" TargetMode="External" /><Relationship Id="rId16" Type="http://schemas.openxmlformats.org/officeDocument/2006/relationships/hyperlink" Target="http://pbs.twimg.com/profile_images/916011795130781697/0lsgMypo_normal.jpg" TargetMode="External" /><Relationship Id="rId17" Type="http://schemas.openxmlformats.org/officeDocument/2006/relationships/hyperlink" Target="http://pbs.twimg.com/profile_images/1044179426525761537/HcZurn5l_normal.jpg" TargetMode="External" /><Relationship Id="rId18" Type="http://schemas.openxmlformats.org/officeDocument/2006/relationships/hyperlink" Target="http://pbs.twimg.com/profile_images/1095320618411716611/v0UuBB1__normal.jpg" TargetMode="External" /><Relationship Id="rId19" Type="http://schemas.openxmlformats.org/officeDocument/2006/relationships/hyperlink" Target="http://pbs.twimg.com/profile_images/309908907/filoche1_normal.jpg" TargetMode="External" /><Relationship Id="rId20" Type="http://schemas.openxmlformats.org/officeDocument/2006/relationships/hyperlink" Target="http://pbs.twimg.com/profile_images/721686527181504512/pXrfop2b_normal.jpg" TargetMode="External" /><Relationship Id="rId21" Type="http://schemas.openxmlformats.org/officeDocument/2006/relationships/hyperlink" Target="http://pbs.twimg.com/profile_images/1183534860033495040/Du8nVUdj_normal.jpg" TargetMode="External" /><Relationship Id="rId22" Type="http://schemas.openxmlformats.org/officeDocument/2006/relationships/hyperlink" Target="http://pbs.twimg.com/profile_images/893585019024920576/3C3HEeEO_normal.jpg" TargetMode="External" /><Relationship Id="rId23" Type="http://schemas.openxmlformats.org/officeDocument/2006/relationships/hyperlink" Target="http://pbs.twimg.com/profile_images/1214647369574309888/zRsh3ygM_normal.jpg" TargetMode="External" /><Relationship Id="rId24" Type="http://schemas.openxmlformats.org/officeDocument/2006/relationships/hyperlink" Target="http://pbs.twimg.com/profile_images/1202342217584709640/FtAWURYd_normal.jpg" TargetMode="External" /><Relationship Id="rId25" Type="http://schemas.openxmlformats.org/officeDocument/2006/relationships/hyperlink" Target="https://twitter.com/nrenard75" TargetMode="External" /><Relationship Id="rId26" Type="http://schemas.openxmlformats.org/officeDocument/2006/relationships/hyperlink" Target="https://twitter.com/cmelysee" TargetMode="External" /><Relationship Id="rId27" Type="http://schemas.openxmlformats.org/officeDocument/2006/relationships/hyperlink" Target="https://twitter.com/lorentzmathias" TargetMode="External" /><Relationship Id="rId28" Type="http://schemas.openxmlformats.org/officeDocument/2006/relationships/hyperlink" Target="https://twitter.com/gerardfiloche" TargetMode="External" /><Relationship Id="rId29" Type="http://schemas.openxmlformats.org/officeDocument/2006/relationships/hyperlink" Target="https://twitter.com/rickbath33" TargetMode="External" /><Relationship Id="rId30" Type="http://schemas.openxmlformats.org/officeDocument/2006/relationships/hyperlink" Target="https://twitter.com/spindocfrance" TargetMode="External" /><Relationship Id="rId31" Type="http://schemas.openxmlformats.org/officeDocument/2006/relationships/hyperlink" Target="https://twitter.com/miyel19" TargetMode="External" /><Relationship Id="rId32" Type="http://schemas.openxmlformats.org/officeDocument/2006/relationships/hyperlink" Target="https://twitter.com/pierre_perret01" TargetMode="External" /><Relationship Id="rId33" Type="http://schemas.openxmlformats.org/officeDocument/2006/relationships/hyperlink" Target="https://twitter.com/pschydlowski" TargetMode="External" /><Relationship Id="rId34" Type="http://schemas.openxmlformats.org/officeDocument/2006/relationships/comments" Target="../comments2.xml" /><Relationship Id="rId35" Type="http://schemas.openxmlformats.org/officeDocument/2006/relationships/vmlDrawing" Target="../drawings/vmlDrawing2.vml" /><Relationship Id="rId36" Type="http://schemas.openxmlformats.org/officeDocument/2006/relationships/table" Target="../tables/table2.xml" /><Relationship Id="rId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pbs.twimg.com/media/EKKFomjXYAIwi-i.jpg" TargetMode="External" /><Relationship Id="rId2" Type="http://schemas.openxmlformats.org/officeDocument/2006/relationships/hyperlink" Target="https://pbs.twimg.com/media/EKJ4oh6WkAI-UAC.jpg" TargetMode="External" /><Relationship Id="rId3" Type="http://schemas.openxmlformats.org/officeDocument/2006/relationships/hyperlink" Target="https://pbs.twimg.com/media/EK5AeeiWwAEndgl.jpg" TargetMode="External" /><Relationship Id="rId4" Type="http://schemas.openxmlformats.org/officeDocument/2006/relationships/hyperlink" Target="https://pbs.twimg.com/media/EKKFomjXYAIwi-i.jpg" TargetMode="External" /><Relationship Id="rId5" Type="http://schemas.openxmlformats.org/officeDocument/2006/relationships/hyperlink" Target="https://pbs.twimg.com/media/EKJ4oh6WkAI-UAC.jpg" TargetMode="External" /><Relationship Id="rId6" Type="http://schemas.openxmlformats.org/officeDocument/2006/relationships/hyperlink" Target="http://pbs.twimg.com/profile_images/1044179426525761537/HcZurn5l_normal.jpg" TargetMode="External" /><Relationship Id="rId7" Type="http://schemas.openxmlformats.org/officeDocument/2006/relationships/hyperlink" Target="http://pbs.twimg.com/profile_images/1044179426525761537/HcZurn5l_normal.jpg" TargetMode="External" /><Relationship Id="rId8" Type="http://schemas.openxmlformats.org/officeDocument/2006/relationships/hyperlink" Target="https://pbs.twimg.com/media/EK5AeeiWwAEndgl.jpg" TargetMode="External" /><Relationship Id="rId9" Type="http://schemas.openxmlformats.org/officeDocument/2006/relationships/hyperlink" Target="http://pbs.twimg.com/profile_images/721686527181504512/pXrfop2b_normal.jpg" TargetMode="External" /><Relationship Id="rId10" Type="http://schemas.openxmlformats.org/officeDocument/2006/relationships/hyperlink" Target="http://pbs.twimg.com/profile_images/721686527181504512/pXrfop2b_normal.jpg" TargetMode="External" /><Relationship Id="rId11" Type="http://schemas.openxmlformats.org/officeDocument/2006/relationships/hyperlink" Target="http://pbs.twimg.com/profile_images/1183534860033495040/Du8nVUdj_normal.jpg" TargetMode="External" /><Relationship Id="rId12" Type="http://schemas.openxmlformats.org/officeDocument/2006/relationships/hyperlink" Target="http://pbs.twimg.com/profile_images/1214647369574309888/zRsh3ygM_normal.jpg" TargetMode="External" /><Relationship Id="rId13" Type="http://schemas.openxmlformats.org/officeDocument/2006/relationships/hyperlink" Target="http://pbs.twimg.com/profile_images/1183534860033495040/Du8nVUdj_normal.jpg" TargetMode="External" /><Relationship Id="rId14" Type="http://schemas.openxmlformats.org/officeDocument/2006/relationships/hyperlink" Target="http://pbs.twimg.com/profile_images/1214647369574309888/zRsh3ygM_normal.jpg" TargetMode="External" /><Relationship Id="rId15" Type="http://schemas.openxmlformats.org/officeDocument/2006/relationships/hyperlink" Target="http://pbs.twimg.com/profile_images/1214647369574309888/zRsh3ygM_normal.jpg" TargetMode="External" /><Relationship Id="rId16" Type="http://schemas.openxmlformats.org/officeDocument/2006/relationships/hyperlink" Target="https://twitter.com/#!/nrenard75/status/1198667404244590592" TargetMode="External" /><Relationship Id="rId17" Type="http://schemas.openxmlformats.org/officeDocument/2006/relationships/hyperlink" Target="https://twitter.com/#!/nrenard75/status/1198653094999085056" TargetMode="External" /><Relationship Id="rId18" Type="http://schemas.openxmlformats.org/officeDocument/2006/relationships/hyperlink" Target="https://twitter.com/#!/cmelysee/status/1233796983464321027" TargetMode="External" /><Relationship Id="rId19" Type="http://schemas.openxmlformats.org/officeDocument/2006/relationships/hyperlink" Target="https://twitter.com/#!/cmelysee/status/1233796993744588800" TargetMode="External" /><Relationship Id="rId20" Type="http://schemas.openxmlformats.org/officeDocument/2006/relationships/hyperlink" Target="https://twitter.com/#!/lorentzmathias/status/1201959768614678530" TargetMode="External" /><Relationship Id="rId21" Type="http://schemas.openxmlformats.org/officeDocument/2006/relationships/hyperlink" Target="https://twitter.com/#!/rickbath33/status/1234143949226479617" TargetMode="External" /><Relationship Id="rId22" Type="http://schemas.openxmlformats.org/officeDocument/2006/relationships/hyperlink" Target="https://twitter.com/#!/rickbath33/status/1234143949226479617" TargetMode="External" /><Relationship Id="rId23" Type="http://schemas.openxmlformats.org/officeDocument/2006/relationships/hyperlink" Target="https://twitter.com/#!/spindocfrance/status/1198643658746191873" TargetMode="External" /><Relationship Id="rId24" Type="http://schemas.openxmlformats.org/officeDocument/2006/relationships/hyperlink" Target="https://twitter.com/#!/pierre_perret01/status/1234811709472333825" TargetMode="External" /><Relationship Id="rId25" Type="http://schemas.openxmlformats.org/officeDocument/2006/relationships/hyperlink" Target="https://twitter.com/#!/spindocfrance/status/1198643658746191873" TargetMode="External" /><Relationship Id="rId26" Type="http://schemas.openxmlformats.org/officeDocument/2006/relationships/hyperlink" Target="https://twitter.com/#!/pierre_perret01/status/1234811709472333825" TargetMode="External" /><Relationship Id="rId27" Type="http://schemas.openxmlformats.org/officeDocument/2006/relationships/hyperlink" Target="https://twitter.com/#!/pierre_perret01/status/1234811709472333825" TargetMode="External" /><Relationship Id="rId28" Type="http://schemas.openxmlformats.org/officeDocument/2006/relationships/comments" Target="../comments7.xml" /><Relationship Id="rId29" Type="http://schemas.openxmlformats.org/officeDocument/2006/relationships/vmlDrawing" Target="../drawings/vmlDrawing6.vml" /><Relationship Id="rId30" Type="http://schemas.openxmlformats.org/officeDocument/2006/relationships/table" Target="../tables/table9.xml" /><Relationship Id="rId3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5"/>
      <c r="J1" s="65"/>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396</v>
      </c>
      <c r="BD2" s="13" t="s">
        <v>404</v>
      </c>
      <c r="BE2" s="13" t="s">
        <v>405</v>
      </c>
    </row>
    <row r="3" spans="1:57" ht="15" customHeight="1">
      <c r="A3" s="85" t="s">
        <v>214</v>
      </c>
      <c r="B3" s="85" t="s">
        <v>215</v>
      </c>
      <c r="C3" s="54" t="s">
        <v>410</v>
      </c>
      <c r="D3" s="55">
        <v>3</v>
      </c>
      <c r="E3" s="66" t="s">
        <v>132</v>
      </c>
      <c r="F3" s="56">
        <v>35</v>
      </c>
      <c r="G3" s="54"/>
      <c r="H3" s="58"/>
      <c r="I3" s="57"/>
      <c r="J3" s="57"/>
      <c r="K3" s="36" t="s">
        <v>66</v>
      </c>
      <c r="L3" s="63">
        <v>3</v>
      </c>
      <c r="M3" s="63"/>
      <c r="N3" s="64"/>
      <c r="O3" s="86" t="s">
        <v>223</v>
      </c>
      <c r="P3" s="88">
        <v>43793.763344907406</v>
      </c>
      <c r="Q3" s="86" t="s">
        <v>226</v>
      </c>
      <c r="R3" s="86"/>
      <c r="S3" s="86"/>
      <c r="T3" s="86" t="s">
        <v>234</v>
      </c>
      <c r="U3" s="90" t="s">
        <v>239</v>
      </c>
      <c r="V3" s="90" t="s">
        <v>239</v>
      </c>
      <c r="W3" s="88">
        <v>43793.763344907406</v>
      </c>
      <c r="X3" s="92">
        <v>43793</v>
      </c>
      <c r="Y3" s="94" t="s">
        <v>246</v>
      </c>
      <c r="Z3" s="90" t="s">
        <v>254</v>
      </c>
      <c r="AA3" s="86"/>
      <c r="AB3" s="86"/>
      <c r="AC3" s="94" t="s">
        <v>262</v>
      </c>
      <c r="AD3" s="94" t="s">
        <v>263</v>
      </c>
      <c r="AE3" s="86" t="b">
        <v>0</v>
      </c>
      <c r="AF3" s="86">
        <v>36</v>
      </c>
      <c r="AG3" s="94" t="s">
        <v>272</v>
      </c>
      <c r="AH3" s="86" t="b">
        <v>0</v>
      </c>
      <c r="AI3" s="86" t="s">
        <v>275</v>
      </c>
      <c r="AJ3" s="86"/>
      <c r="AK3" s="94" t="s">
        <v>273</v>
      </c>
      <c r="AL3" s="86" t="b">
        <v>0</v>
      </c>
      <c r="AM3" s="86">
        <v>84</v>
      </c>
      <c r="AN3" s="94" t="s">
        <v>273</v>
      </c>
      <c r="AO3" s="86" t="s">
        <v>276</v>
      </c>
      <c r="AP3" s="86" t="b">
        <v>0</v>
      </c>
      <c r="AQ3" s="94" t="s">
        <v>263</v>
      </c>
      <c r="AR3" s="86" t="s">
        <v>278</v>
      </c>
      <c r="AS3" s="86">
        <v>0</v>
      </c>
      <c r="AT3" s="86">
        <v>0</v>
      </c>
      <c r="AU3" s="86"/>
      <c r="AV3" s="86"/>
      <c r="AW3" s="86"/>
      <c r="AX3" s="86"/>
      <c r="AY3" s="86"/>
      <c r="AZ3" s="86"/>
      <c r="BA3" s="86"/>
      <c r="BB3" s="86"/>
      <c r="BC3">
        <v>2</v>
      </c>
      <c r="BD3" s="86" t="str">
        <f>REPLACE(INDEX(GroupVertices[Group],MATCH(Edges[[#This Row],[Vertex 1]],GroupVertices[Vertex],0)),1,1,"")</f>
        <v>3</v>
      </c>
      <c r="BE3" s="86" t="str">
        <f>REPLACE(INDEX(GroupVertices[Group],MATCH(Edges[[#This Row],[Vertex 2]],GroupVertices[Vertex],0)),1,1,"")</f>
        <v>3</v>
      </c>
    </row>
    <row r="4" spans="1:57" ht="15" customHeight="1">
      <c r="A4" s="85" t="s">
        <v>214</v>
      </c>
      <c r="B4" s="85" t="s">
        <v>215</v>
      </c>
      <c r="C4" s="54" t="s">
        <v>410</v>
      </c>
      <c r="D4" s="55">
        <v>3</v>
      </c>
      <c r="E4" s="66" t="s">
        <v>132</v>
      </c>
      <c r="F4" s="56">
        <v>35</v>
      </c>
      <c r="G4" s="54"/>
      <c r="H4" s="58"/>
      <c r="I4" s="57"/>
      <c r="J4" s="57"/>
      <c r="K4" s="36" t="s">
        <v>66</v>
      </c>
      <c r="L4" s="84">
        <v>4</v>
      </c>
      <c r="M4" s="84"/>
      <c r="N4" s="64"/>
      <c r="O4" s="87" t="s">
        <v>223</v>
      </c>
      <c r="P4" s="89">
        <v>43793.72386574074</v>
      </c>
      <c r="Q4" s="87" t="s">
        <v>227</v>
      </c>
      <c r="R4" s="87"/>
      <c r="S4" s="87"/>
      <c r="T4" s="87" t="s">
        <v>234</v>
      </c>
      <c r="U4" s="91" t="s">
        <v>240</v>
      </c>
      <c r="V4" s="91" t="s">
        <v>240</v>
      </c>
      <c r="W4" s="89">
        <v>43793.72386574074</v>
      </c>
      <c r="X4" s="93">
        <v>43793</v>
      </c>
      <c r="Y4" s="95" t="s">
        <v>247</v>
      </c>
      <c r="Z4" s="91" t="s">
        <v>255</v>
      </c>
      <c r="AA4" s="87"/>
      <c r="AB4" s="87"/>
      <c r="AC4" s="95" t="s">
        <v>263</v>
      </c>
      <c r="AD4" s="95" t="s">
        <v>270</v>
      </c>
      <c r="AE4" s="87" t="b">
        <v>0</v>
      </c>
      <c r="AF4" s="87">
        <v>31</v>
      </c>
      <c r="AG4" s="95" t="s">
        <v>272</v>
      </c>
      <c r="AH4" s="87" t="b">
        <v>0</v>
      </c>
      <c r="AI4" s="87" t="s">
        <v>275</v>
      </c>
      <c r="AJ4" s="87"/>
      <c r="AK4" s="95" t="s">
        <v>273</v>
      </c>
      <c r="AL4" s="87" t="b">
        <v>0</v>
      </c>
      <c r="AM4" s="87">
        <v>70</v>
      </c>
      <c r="AN4" s="95" t="s">
        <v>273</v>
      </c>
      <c r="AO4" s="87" t="s">
        <v>276</v>
      </c>
      <c r="AP4" s="87" t="b">
        <v>0</v>
      </c>
      <c r="AQ4" s="95" t="s">
        <v>270</v>
      </c>
      <c r="AR4" s="87" t="s">
        <v>278</v>
      </c>
      <c r="AS4" s="87">
        <v>0</v>
      </c>
      <c r="AT4" s="87">
        <v>0</v>
      </c>
      <c r="AU4" s="87"/>
      <c r="AV4" s="87"/>
      <c r="AW4" s="87"/>
      <c r="AX4" s="87"/>
      <c r="AY4" s="87"/>
      <c r="AZ4" s="87"/>
      <c r="BA4" s="87"/>
      <c r="BB4" s="87"/>
      <c r="BC4">
        <v>2</v>
      </c>
      <c r="BD4" s="86" t="str">
        <f>REPLACE(INDEX(GroupVertices[Group],MATCH(Edges[[#This Row],[Vertex 1]],GroupVertices[Vertex],0)),1,1,"")</f>
        <v>3</v>
      </c>
      <c r="BE4" s="86" t="str">
        <f>REPLACE(INDEX(GroupVertices[Group],MATCH(Edges[[#This Row],[Vertex 2]],GroupVertices[Vertex],0)),1,1,"")</f>
        <v>3</v>
      </c>
    </row>
    <row r="5" spans="1:57" ht="15">
      <c r="A5" s="85" t="s">
        <v>215</v>
      </c>
      <c r="B5" s="85" t="s">
        <v>214</v>
      </c>
      <c r="C5" s="54" t="s">
        <v>410</v>
      </c>
      <c r="D5" s="55">
        <v>3</v>
      </c>
      <c r="E5" s="66" t="s">
        <v>132</v>
      </c>
      <c r="F5" s="56">
        <v>35</v>
      </c>
      <c r="G5" s="54"/>
      <c r="H5" s="58"/>
      <c r="I5" s="57"/>
      <c r="J5" s="57"/>
      <c r="K5" s="36" t="s">
        <v>66</v>
      </c>
      <c r="L5" s="84">
        <v>5</v>
      </c>
      <c r="M5" s="84"/>
      <c r="N5" s="64"/>
      <c r="O5" s="87" t="s">
        <v>224</v>
      </c>
      <c r="P5" s="89">
        <v>43890.702523148146</v>
      </c>
      <c r="Q5" s="87" t="s">
        <v>228</v>
      </c>
      <c r="R5" s="87"/>
      <c r="S5" s="87"/>
      <c r="T5" s="87"/>
      <c r="U5" s="87"/>
      <c r="V5" s="91" t="s">
        <v>242</v>
      </c>
      <c r="W5" s="89">
        <v>43890.702523148146</v>
      </c>
      <c r="X5" s="93">
        <v>43890</v>
      </c>
      <c r="Y5" s="95" t="s">
        <v>248</v>
      </c>
      <c r="Z5" s="91" t="s">
        <v>256</v>
      </c>
      <c r="AA5" s="87"/>
      <c r="AB5" s="87"/>
      <c r="AC5" s="95" t="s">
        <v>264</v>
      </c>
      <c r="AD5" s="87"/>
      <c r="AE5" s="87" t="b">
        <v>0</v>
      </c>
      <c r="AF5" s="87">
        <v>0</v>
      </c>
      <c r="AG5" s="95" t="s">
        <v>273</v>
      </c>
      <c r="AH5" s="87" t="b">
        <v>0</v>
      </c>
      <c r="AI5" s="87" t="s">
        <v>275</v>
      </c>
      <c r="AJ5" s="87"/>
      <c r="AK5" s="95" t="s">
        <v>273</v>
      </c>
      <c r="AL5" s="87" t="b">
        <v>0</v>
      </c>
      <c r="AM5" s="87">
        <v>84</v>
      </c>
      <c r="AN5" s="95" t="s">
        <v>262</v>
      </c>
      <c r="AO5" s="87" t="s">
        <v>276</v>
      </c>
      <c r="AP5" s="87" t="b">
        <v>0</v>
      </c>
      <c r="AQ5" s="95" t="s">
        <v>262</v>
      </c>
      <c r="AR5" s="87" t="s">
        <v>176</v>
      </c>
      <c r="AS5" s="87">
        <v>0</v>
      </c>
      <c r="AT5" s="87">
        <v>0</v>
      </c>
      <c r="AU5" s="87"/>
      <c r="AV5" s="87"/>
      <c r="AW5" s="87"/>
      <c r="AX5" s="87"/>
      <c r="AY5" s="87"/>
      <c r="AZ5" s="87"/>
      <c r="BA5" s="87"/>
      <c r="BB5" s="87"/>
      <c r="BC5">
        <v>2</v>
      </c>
      <c r="BD5" s="86" t="str">
        <f>REPLACE(INDEX(GroupVertices[Group],MATCH(Edges[[#This Row],[Vertex 1]],GroupVertices[Vertex],0)),1,1,"")</f>
        <v>3</v>
      </c>
      <c r="BE5" s="86" t="str">
        <f>REPLACE(INDEX(GroupVertices[Group],MATCH(Edges[[#This Row],[Vertex 2]],GroupVertices[Vertex],0)),1,1,"")</f>
        <v>3</v>
      </c>
    </row>
    <row r="6" spans="1:57" ht="15">
      <c r="A6" s="85" t="s">
        <v>215</v>
      </c>
      <c r="B6" s="85" t="s">
        <v>214</v>
      </c>
      <c r="C6" s="54" t="s">
        <v>410</v>
      </c>
      <c r="D6" s="55">
        <v>3</v>
      </c>
      <c r="E6" s="66" t="s">
        <v>132</v>
      </c>
      <c r="F6" s="56">
        <v>35</v>
      </c>
      <c r="G6" s="54"/>
      <c r="H6" s="58"/>
      <c r="I6" s="57"/>
      <c r="J6" s="57"/>
      <c r="K6" s="36" t="s">
        <v>66</v>
      </c>
      <c r="L6" s="84">
        <v>6</v>
      </c>
      <c r="M6" s="84"/>
      <c r="N6" s="64"/>
      <c r="O6" s="87" t="s">
        <v>224</v>
      </c>
      <c r="P6" s="89">
        <v>43890.7025462963</v>
      </c>
      <c r="Q6" s="87" t="s">
        <v>229</v>
      </c>
      <c r="R6" s="87"/>
      <c r="S6" s="87"/>
      <c r="T6" s="87"/>
      <c r="U6" s="87"/>
      <c r="V6" s="91" t="s">
        <v>242</v>
      </c>
      <c r="W6" s="89">
        <v>43890.7025462963</v>
      </c>
      <c r="X6" s="93">
        <v>43890</v>
      </c>
      <c r="Y6" s="95" t="s">
        <v>249</v>
      </c>
      <c r="Z6" s="91" t="s">
        <v>257</v>
      </c>
      <c r="AA6" s="87"/>
      <c r="AB6" s="87"/>
      <c r="AC6" s="95" t="s">
        <v>265</v>
      </c>
      <c r="AD6" s="87"/>
      <c r="AE6" s="87" t="b">
        <v>0</v>
      </c>
      <c r="AF6" s="87">
        <v>0</v>
      </c>
      <c r="AG6" s="95" t="s">
        <v>273</v>
      </c>
      <c r="AH6" s="87" t="b">
        <v>0</v>
      </c>
      <c r="AI6" s="87" t="s">
        <v>275</v>
      </c>
      <c r="AJ6" s="87"/>
      <c r="AK6" s="95" t="s">
        <v>273</v>
      </c>
      <c r="AL6" s="87" t="b">
        <v>0</v>
      </c>
      <c r="AM6" s="87">
        <v>70</v>
      </c>
      <c r="AN6" s="95" t="s">
        <v>263</v>
      </c>
      <c r="AO6" s="87" t="s">
        <v>276</v>
      </c>
      <c r="AP6" s="87" t="b">
        <v>0</v>
      </c>
      <c r="AQ6" s="95" t="s">
        <v>263</v>
      </c>
      <c r="AR6" s="87" t="s">
        <v>176</v>
      </c>
      <c r="AS6" s="87">
        <v>0</v>
      </c>
      <c r="AT6" s="87">
        <v>0</v>
      </c>
      <c r="AU6" s="87"/>
      <c r="AV6" s="87"/>
      <c r="AW6" s="87"/>
      <c r="AX6" s="87"/>
      <c r="AY6" s="87"/>
      <c r="AZ6" s="87"/>
      <c r="BA6" s="87"/>
      <c r="BB6" s="87"/>
      <c r="BC6">
        <v>2</v>
      </c>
      <c r="BD6" s="86" t="str">
        <f>REPLACE(INDEX(GroupVertices[Group],MATCH(Edges[[#This Row],[Vertex 1]],GroupVertices[Vertex],0)),1,1,"")</f>
        <v>3</v>
      </c>
      <c r="BE6" s="86" t="str">
        <f>REPLACE(INDEX(GroupVertices[Group],MATCH(Edges[[#This Row],[Vertex 2]],GroupVertices[Vertex],0)),1,1,"")</f>
        <v>3</v>
      </c>
    </row>
    <row r="7" spans="1:57" ht="45">
      <c r="A7" s="85" t="s">
        <v>216</v>
      </c>
      <c r="B7" s="85" t="s">
        <v>220</v>
      </c>
      <c r="C7" s="54" t="s">
        <v>411</v>
      </c>
      <c r="D7" s="55">
        <v>3</v>
      </c>
      <c r="E7" s="66" t="s">
        <v>132</v>
      </c>
      <c r="F7" s="56">
        <v>35</v>
      </c>
      <c r="G7" s="54"/>
      <c r="H7" s="58"/>
      <c r="I7" s="57"/>
      <c r="J7" s="57"/>
      <c r="K7" s="36" t="s">
        <v>65</v>
      </c>
      <c r="L7" s="84">
        <v>7</v>
      </c>
      <c r="M7" s="84"/>
      <c r="N7" s="64"/>
      <c r="O7" s="87" t="s">
        <v>225</v>
      </c>
      <c r="P7" s="89">
        <v>43802.848541666666</v>
      </c>
      <c r="Q7" s="87" t="s">
        <v>230</v>
      </c>
      <c r="R7" s="87"/>
      <c r="S7" s="87"/>
      <c r="T7" s="87" t="s">
        <v>235</v>
      </c>
      <c r="U7" s="91" t="s">
        <v>241</v>
      </c>
      <c r="V7" s="91" t="s">
        <v>241</v>
      </c>
      <c r="W7" s="89">
        <v>43802.848541666666</v>
      </c>
      <c r="X7" s="93">
        <v>43802</v>
      </c>
      <c r="Y7" s="95" t="s">
        <v>250</v>
      </c>
      <c r="Z7" s="91" t="s">
        <v>258</v>
      </c>
      <c r="AA7" s="87"/>
      <c r="AB7" s="87"/>
      <c r="AC7" s="95" t="s">
        <v>266</v>
      </c>
      <c r="AD7" s="87"/>
      <c r="AE7" s="87" t="b">
        <v>0</v>
      </c>
      <c r="AF7" s="87">
        <v>662</v>
      </c>
      <c r="AG7" s="95" t="s">
        <v>273</v>
      </c>
      <c r="AH7" s="87" t="b">
        <v>0</v>
      </c>
      <c r="AI7" s="87" t="s">
        <v>275</v>
      </c>
      <c r="AJ7" s="87"/>
      <c r="AK7" s="95" t="s">
        <v>273</v>
      </c>
      <c r="AL7" s="87" t="b">
        <v>0</v>
      </c>
      <c r="AM7" s="87">
        <v>534</v>
      </c>
      <c r="AN7" s="95" t="s">
        <v>273</v>
      </c>
      <c r="AO7" s="87" t="s">
        <v>277</v>
      </c>
      <c r="AP7" s="87" t="b">
        <v>0</v>
      </c>
      <c r="AQ7" s="95" t="s">
        <v>266</v>
      </c>
      <c r="AR7" s="87" t="s">
        <v>278</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2</v>
      </c>
    </row>
    <row r="8" spans="1:57" ht="45">
      <c r="A8" s="85" t="s">
        <v>217</v>
      </c>
      <c r="B8" s="85" t="s">
        <v>220</v>
      </c>
      <c r="C8" s="54" t="s">
        <v>411</v>
      </c>
      <c r="D8" s="55">
        <v>3</v>
      </c>
      <c r="E8" s="66" t="s">
        <v>132</v>
      </c>
      <c r="F8" s="56">
        <v>35</v>
      </c>
      <c r="G8" s="54"/>
      <c r="H8" s="58"/>
      <c r="I8" s="57"/>
      <c r="J8" s="57"/>
      <c r="K8" s="36" t="s">
        <v>65</v>
      </c>
      <c r="L8" s="84">
        <v>8</v>
      </c>
      <c r="M8" s="84"/>
      <c r="N8" s="64"/>
      <c r="O8" s="87" t="s">
        <v>224</v>
      </c>
      <c r="P8" s="89">
        <v>43891.65996527778</v>
      </c>
      <c r="Q8" s="87" t="s">
        <v>231</v>
      </c>
      <c r="R8" s="87"/>
      <c r="S8" s="87"/>
      <c r="T8" s="87" t="s">
        <v>236</v>
      </c>
      <c r="U8" s="87"/>
      <c r="V8" s="91" t="s">
        <v>243</v>
      </c>
      <c r="W8" s="89">
        <v>43891.65996527778</v>
      </c>
      <c r="X8" s="93">
        <v>43891</v>
      </c>
      <c r="Y8" s="95" t="s">
        <v>251</v>
      </c>
      <c r="Z8" s="91" t="s">
        <v>259</v>
      </c>
      <c r="AA8" s="87"/>
      <c r="AB8" s="87"/>
      <c r="AC8" s="95" t="s">
        <v>267</v>
      </c>
      <c r="AD8" s="87"/>
      <c r="AE8" s="87" t="b">
        <v>0</v>
      </c>
      <c r="AF8" s="87">
        <v>0</v>
      </c>
      <c r="AG8" s="95" t="s">
        <v>273</v>
      </c>
      <c r="AH8" s="87" t="b">
        <v>0</v>
      </c>
      <c r="AI8" s="87" t="s">
        <v>275</v>
      </c>
      <c r="AJ8" s="87"/>
      <c r="AK8" s="95" t="s">
        <v>273</v>
      </c>
      <c r="AL8" s="87" t="b">
        <v>0</v>
      </c>
      <c r="AM8" s="87">
        <v>534</v>
      </c>
      <c r="AN8" s="95" t="s">
        <v>266</v>
      </c>
      <c r="AO8" s="87" t="s">
        <v>276</v>
      </c>
      <c r="AP8" s="87" t="b">
        <v>0</v>
      </c>
      <c r="AQ8" s="95" t="s">
        <v>266</v>
      </c>
      <c r="AR8" s="87" t="s">
        <v>176</v>
      </c>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2</v>
      </c>
    </row>
    <row r="9" spans="1:57" ht="45">
      <c r="A9" s="85" t="s">
        <v>217</v>
      </c>
      <c r="B9" s="85" t="s">
        <v>216</v>
      </c>
      <c r="C9" s="54" t="s">
        <v>411</v>
      </c>
      <c r="D9" s="55">
        <v>3</v>
      </c>
      <c r="E9" s="66" t="s">
        <v>132</v>
      </c>
      <c r="F9" s="56">
        <v>35</v>
      </c>
      <c r="G9" s="54"/>
      <c r="H9" s="58"/>
      <c r="I9" s="57"/>
      <c r="J9" s="57"/>
      <c r="K9" s="36" t="s">
        <v>65</v>
      </c>
      <c r="L9" s="84">
        <v>9</v>
      </c>
      <c r="M9" s="84"/>
      <c r="N9" s="64"/>
      <c r="O9" s="87" t="s">
        <v>224</v>
      </c>
      <c r="P9" s="89">
        <v>43891.65996527778</v>
      </c>
      <c r="Q9" s="87" t="s">
        <v>231</v>
      </c>
      <c r="R9" s="87"/>
      <c r="S9" s="87"/>
      <c r="T9" s="87" t="s">
        <v>236</v>
      </c>
      <c r="U9" s="87"/>
      <c r="V9" s="91" t="s">
        <v>243</v>
      </c>
      <c r="W9" s="89">
        <v>43891.65996527778</v>
      </c>
      <c r="X9" s="93">
        <v>43891</v>
      </c>
      <c r="Y9" s="95" t="s">
        <v>251</v>
      </c>
      <c r="Z9" s="91" t="s">
        <v>259</v>
      </c>
      <c r="AA9" s="87"/>
      <c r="AB9" s="87"/>
      <c r="AC9" s="95" t="s">
        <v>267</v>
      </c>
      <c r="AD9" s="87"/>
      <c r="AE9" s="87" t="b">
        <v>0</v>
      </c>
      <c r="AF9" s="87">
        <v>0</v>
      </c>
      <c r="AG9" s="95" t="s">
        <v>273</v>
      </c>
      <c r="AH9" s="87" t="b">
        <v>0</v>
      </c>
      <c r="AI9" s="87" t="s">
        <v>275</v>
      </c>
      <c r="AJ9" s="87"/>
      <c r="AK9" s="95" t="s">
        <v>273</v>
      </c>
      <c r="AL9" s="87" t="b">
        <v>0</v>
      </c>
      <c r="AM9" s="87">
        <v>534</v>
      </c>
      <c r="AN9" s="95" t="s">
        <v>266</v>
      </c>
      <c r="AO9" s="87" t="s">
        <v>276</v>
      </c>
      <c r="AP9" s="87" t="b">
        <v>0</v>
      </c>
      <c r="AQ9" s="95" t="s">
        <v>266</v>
      </c>
      <c r="AR9" s="87" t="s">
        <v>176</v>
      </c>
      <c r="AS9" s="87">
        <v>0</v>
      </c>
      <c r="AT9" s="87">
        <v>0</v>
      </c>
      <c r="AU9" s="87"/>
      <c r="AV9" s="87"/>
      <c r="AW9" s="87"/>
      <c r="AX9" s="87"/>
      <c r="AY9" s="87"/>
      <c r="AZ9" s="87"/>
      <c r="BA9" s="87"/>
      <c r="BB9" s="87"/>
      <c r="BC9">
        <v>1</v>
      </c>
      <c r="BD9" s="86" t="str">
        <f>REPLACE(INDEX(GroupVertices[Group],MATCH(Edges[[#This Row],[Vertex 1]],GroupVertices[Vertex],0)),1,1,"")</f>
        <v>2</v>
      </c>
      <c r="BE9" s="86" t="str">
        <f>REPLACE(INDEX(GroupVertices[Group],MATCH(Edges[[#This Row],[Vertex 2]],GroupVertices[Vertex],0)),1,1,"")</f>
        <v>2</v>
      </c>
    </row>
    <row r="10" spans="1:57" ht="45">
      <c r="A10" s="85" t="s">
        <v>218</v>
      </c>
      <c r="B10" s="85" t="s">
        <v>221</v>
      </c>
      <c r="C10" s="54" t="s">
        <v>411</v>
      </c>
      <c r="D10" s="55">
        <v>3</v>
      </c>
      <c r="E10" s="66" t="s">
        <v>132</v>
      </c>
      <c r="F10" s="56">
        <v>35</v>
      </c>
      <c r="G10" s="54"/>
      <c r="H10" s="58"/>
      <c r="I10" s="57"/>
      <c r="J10" s="57"/>
      <c r="K10" s="36" t="s">
        <v>65</v>
      </c>
      <c r="L10" s="84">
        <v>10</v>
      </c>
      <c r="M10" s="84"/>
      <c r="N10" s="64"/>
      <c r="O10" s="87" t="s">
        <v>225</v>
      </c>
      <c r="P10" s="89">
        <v>43793.69782407407</v>
      </c>
      <c r="Q10" s="87" t="s">
        <v>232</v>
      </c>
      <c r="R10" s="87"/>
      <c r="S10" s="87"/>
      <c r="T10" s="87" t="s">
        <v>237</v>
      </c>
      <c r="U10" s="87"/>
      <c r="V10" s="91" t="s">
        <v>244</v>
      </c>
      <c r="W10" s="89">
        <v>43793.69782407407</v>
      </c>
      <c r="X10" s="93">
        <v>43793</v>
      </c>
      <c r="Y10" s="95" t="s">
        <v>252</v>
      </c>
      <c r="Z10" s="91" t="s">
        <v>260</v>
      </c>
      <c r="AA10" s="87"/>
      <c r="AB10" s="87"/>
      <c r="AC10" s="95" t="s">
        <v>268</v>
      </c>
      <c r="AD10" s="95" t="s">
        <v>271</v>
      </c>
      <c r="AE10" s="87" t="b">
        <v>0</v>
      </c>
      <c r="AF10" s="87">
        <v>2</v>
      </c>
      <c r="AG10" s="95" t="s">
        <v>274</v>
      </c>
      <c r="AH10" s="87" t="b">
        <v>0</v>
      </c>
      <c r="AI10" s="87" t="s">
        <v>275</v>
      </c>
      <c r="AJ10" s="87"/>
      <c r="AK10" s="95" t="s">
        <v>273</v>
      </c>
      <c r="AL10" s="87" t="b">
        <v>0</v>
      </c>
      <c r="AM10" s="87">
        <v>2</v>
      </c>
      <c r="AN10" s="95" t="s">
        <v>273</v>
      </c>
      <c r="AO10" s="87" t="s">
        <v>276</v>
      </c>
      <c r="AP10" s="87" t="b">
        <v>0</v>
      </c>
      <c r="AQ10" s="95" t="s">
        <v>271</v>
      </c>
      <c r="AR10" s="87" t="s">
        <v>278</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row>
    <row r="11" spans="1:57" ht="45">
      <c r="A11" s="85" t="s">
        <v>219</v>
      </c>
      <c r="B11" s="85" t="s">
        <v>221</v>
      </c>
      <c r="C11" s="54" t="s">
        <v>411</v>
      </c>
      <c r="D11" s="55">
        <v>3</v>
      </c>
      <c r="E11" s="66" t="s">
        <v>132</v>
      </c>
      <c r="F11" s="56">
        <v>35</v>
      </c>
      <c r="G11" s="54"/>
      <c r="H11" s="58"/>
      <c r="I11" s="57"/>
      <c r="J11" s="57"/>
      <c r="K11" s="36" t="s">
        <v>65</v>
      </c>
      <c r="L11" s="84">
        <v>11</v>
      </c>
      <c r="M11" s="84"/>
      <c r="N11" s="64"/>
      <c r="O11" s="87" t="s">
        <v>224</v>
      </c>
      <c r="P11" s="89">
        <v>43893.50262731482</v>
      </c>
      <c r="Q11" s="87" t="s">
        <v>233</v>
      </c>
      <c r="R11" s="87"/>
      <c r="S11" s="87"/>
      <c r="T11" s="87" t="s">
        <v>238</v>
      </c>
      <c r="U11" s="87"/>
      <c r="V11" s="91" t="s">
        <v>245</v>
      </c>
      <c r="W11" s="89">
        <v>43893.50262731482</v>
      </c>
      <c r="X11" s="93">
        <v>43893</v>
      </c>
      <c r="Y11" s="95" t="s">
        <v>253</v>
      </c>
      <c r="Z11" s="91" t="s">
        <v>261</v>
      </c>
      <c r="AA11" s="87"/>
      <c r="AB11" s="87"/>
      <c r="AC11" s="95" t="s">
        <v>269</v>
      </c>
      <c r="AD11" s="87"/>
      <c r="AE11" s="87" t="b">
        <v>0</v>
      </c>
      <c r="AF11" s="87">
        <v>0</v>
      </c>
      <c r="AG11" s="95" t="s">
        <v>273</v>
      </c>
      <c r="AH11" s="87" t="b">
        <v>0</v>
      </c>
      <c r="AI11" s="87" t="s">
        <v>275</v>
      </c>
      <c r="AJ11" s="87"/>
      <c r="AK11" s="95" t="s">
        <v>273</v>
      </c>
      <c r="AL11" s="87" t="b">
        <v>0</v>
      </c>
      <c r="AM11" s="87">
        <v>2</v>
      </c>
      <c r="AN11" s="95" t="s">
        <v>268</v>
      </c>
      <c r="AO11" s="87" t="s">
        <v>276</v>
      </c>
      <c r="AP11" s="87" t="b">
        <v>0</v>
      </c>
      <c r="AQ11" s="95" t="s">
        <v>268</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row>
    <row r="12" spans="1:57" ht="45">
      <c r="A12" s="85" t="s">
        <v>218</v>
      </c>
      <c r="B12" s="85" t="s">
        <v>222</v>
      </c>
      <c r="C12" s="54" t="s">
        <v>411</v>
      </c>
      <c r="D12" s="55">
        <v>3</v>
      </c>
      <c r="E12" s="66" t="s">
        <v>132</v>
      </c>
      <c r="F12" s="56">
        <v>35</v>
      </c>
      <c r="G12" s="54"/>
      <c r="H12" s="58"/>
      <c r="I12" s="57"/>
      <c r="J12" s="57"/>
      <c r="K12" s="36" t="s">
        <v>65</v>
      </c>
      <c r="L12" s="84">
        <v>12</v>
      </c>
      <c r="M12" s="84"/>
      <c r="N12" s="64"/>
      <c r="O12" s="87" t="s">
        <v>223</v>
      </c>
      <c r="P12" s="89">
        <v>43793.69782407407</v>
      </c>
      <c r="Q12" s="87" t="s">
        <v>232</v>
      </c>
      <c r="R12" s="87"/>
      <c r="S12" s="87"/>
      <c r="T12" s="87" t="s">
        <v>237</v>
      </c>
      <c r="U12" s="87"/>
      <c r="V12" s="91" t="s">
        <v>244</v>
      </c>
      <c r="W12" s="89">
        <v>43793.69782407407</v>
      </c>
      <c r="X12" s="93">
        <v>43793</v>
      </c>
      <c r="Y12" s="95" t="s">
        <v>252</v>
      </c>
      <c r="Z12" s="91" t="s">
        <v>260</v>
      </c>
      <c r="AA12" s="87"/>
      <c r="AB12" s="87"/>
      <c r="AC12" s="95" t="s">
        <v>268</v>
      </c>
      <c r="AD12" s="95" t="s">
        <v>271</v>
      </c>
      <c r="AE12" s="87" t="b">
        <v>0</v>
      </c>
      <c r="AF12" s="87">
        <v>2</v>
      </c>
      <c r="AG12" s="95" t="s">
        <v>274</v>
      </c>
      <c r="AH12" s="87" t="b">
        <v>0</v>
      </c>
      <c r="AI12" s="87" t="s">
        <v>275</v>
      </c>
      <c r="AJ12" s="87"/>
      <c r="AK12" s="95" t="s">
        <v>273</v>
      </c>
      <c r="AL12" s="87" t="b">
        <v>0</v>
      </c>
      <c r="AM12" s="87">
        <v>2</v>
      </c>
      <c r="AN12" s="95" t="s">
        <v>273</v>
      </c>
      <c r="AO12" s="87" t="s">
        <v>276</v>
      </c>
      <c r="AP12" s="87" t="b">
        <v>0</v>
      </c>
      <c r="AQ12" s="95" t="s">
        <v>271</v>
      </c>
      <c r="AR12" s="87" t="s">
        <v>278</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row>
    <row r="13" spans="1:57" ht="45">
      <c r="A13" s="85" t="s">
        <v>219</v>
      </c>
      <c r="B13" s="85" t="s">
        <v>222</v>
      </c>
      <c r="C13" s="54" t="s">
        <v>411</v>
      </c>
      <c r="D13" s="55">
        <v>3</v>
      </c>
      <c r="E13" s="66" t="s">
        <v>132</v>
      </c>
      <c r="F13" s="56">
        <v>35</v>
      </c>
      <c r="G13" s="54"/>
      <c r="H13" s="58"/>
      <c r="I13" s="57"/>
      <c r="J13" s="57"/>
      <c r="K13" s="36" t="s">
        <v>65</v>
      </c>
      <c r="L13" s="84">
        <v>13</v>
      </c>
      <c r="M13" s="84"/>
      <c r="N13" s="64"/>
      <c r="O13" s="87" t="s">
        <v>224</v>
      </c>
      <c r="P13" s="89">
        <v>43893.50262731482</v>
      </c>
      <c r="Q13" s="87" t="s">
        <v>233</v>
      </c>
      <c r="R13" s="87"/>
      <c r="S13" s="87"/>
      <c r="T13" s="87" t="s">
        <v>238</v>
      </c>
      <c r="U13" s="87"/>
      <c r="V13" s="91" t="s">
        <v>245</v>
      </c>
      <c r="W13" s="89">
        <v>43893.50262731482</v>
      </c>
      <c r="X13" s="93">
        <v>43893</v>
      </c>
      <c r="Y13" s="95" t="s">
        <v>253</v>
      </c>
      <c r="Z13" s="91" t="s">
        <v>261</v>
      </c>
      <c r="AA13" s="87"/>
      <c r="AB13" s="87"/>
      <c r="AC13" s="95" t="s">
        <v>269</v>
      </c>
      <c r="AD13" s="87"/>
      <c r="AE13" s="87" t="b">
        <v>0</v>
      </c>
      <c r="AF13" s="87">
        <v>0</v>
      </c>
      <c r="AG13" s="95" t="s">
        <v>273</v>
      </c>
      <c r="AH13" s="87" t="b">
        <v>0</v>
      </c>
      <c r="AI13" s="87" t="s">
        <v>275</v>
      </c>
      <c r="AJ13" s="87"/>
      <c r="AK13" s="95" t="s">
        <v>273</v>
      </c>
      <c r="AL13" s="87" t="b">
        <v>0</v>
      </c>
      <c r="AM13" s="87">
        <v>2</v>
      </c>
      <c r="AN13" s="95" t="s">
        <v>268</v>
      </c>
      <c r="AO13" s="87" t="s">
        <v>276</v>
      </c>
      <c r="AP13" s="87" t="b">
        <v>0</v>
      </c>
      <c r="AQ13" s="95" t="s">
        <v>268</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row>
    <row r="14" spans="1:57" ht="45">
      <c r="A14" s="85" t="s">
        <v>219</v>
      </c>
      <c r="B14" s="85" t="s">
        <v>218</v>
      </c>
      <c r="C14" s="54" t="s">
        <v>411</v>
      </c>
      <c r="D14" s="55">
        <v>3</v>
      </c>
      <c r="E14" s="66" t="s">
        <v>132</v>
      </c>
      <c r="F14" s="56">
        <v>35</v>
      </c>
      <c r="G14" s="54"/>
      <c r="H14" s="58"/>
      <c r="I14" s="57"/>
      <c r="J14" s="57"/>
      <c r="K14" s="36" t="s">
        <v>65</v>
      </c>
      <c r="L14" s="84">
        <v>14</v>
      </c>
      <c r="M14" s="84"/>
      <c r="N14" s="64"/>
      <c r="O14" s="87" t="s">
        <v>224</v>
      </c>
      <c r="P14" s="89">
        <v>43893.50262731482</v>
      </c>
      <c r="Q14" s="87" t="s">
        <v>233</v>
      </c>
      <c r="R14" s="87"/>
      <c r="S14" s="87"/>
      <c r="T14" s="87" t="s">
        <v>238</v>
      </c>
      <c r="U14" s="87"/>
      <c r="V14" s="91" t="s">
        <v>245</v>
      </c>
      <c r="W14" s="89">
        <v>43893.50262731482</v>
      </c>
      <c r="X14" s="93">
        <v>43893</v>
      </c>
      <c r="Y14" s="95" t="s">
        <v>253</v>
      </c>
      <c r="Z14" s="91" t="s">
        <v>261</v>
      </c>
      <c r="AA14" s="87"/>
      <c r="AB14" s="87"/>
      <c r="AC14" s="95" t="s">
        <v>269</v>
      </c>
      <c r="AD14" s="87"/>
      <c r="AE14" s="87" t="b">
        <v>0</v>
      </c>
      <c r="AF14" s="87">
        <v>0</v>
      </c>
      <c r="AG14" s="95" t="s">
        <v>273</v>
      </c>
      <c r="AH14" s="87" t="b">
        <v>0</v>
      </c>
      <c r="AI14" s="87" t="s">
        <v>275</v>
      </c>
      <c r="AJ14" s="87"/>
      <c r="AK14" s="95" t="s">
        <v>273</v>
      </c>
      <c r="AL14" s="87" t="b">
        <v>0</v>
      </c>
      <c r="AM14" s="87">
        <v>2</v>
      </c>
      <c r="AN14" s="95" t="s">
        <v>268</v>
      </c>
      <c r="AO14" s="87" t="s">
        <v>276</v>
      </c>
      <c r="AP14" s="87" t="b">
        <v>0</v>
      </c>
      <c r="AQ14" s="95" t="s">
        <v>268</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hyperlinks>
    <hyperlink ref="U3" r:id="rId1" display="https://pbs.twimg.com/media/EKKFomjXYAIwi-i.jpg"/>
    <hyperlink ref="U4" r:id="rId2" display="https://pbs.twimg.com/media/EKJ4oh6WkAI-UAC.jpg"/>
    <hyperlink ref="U7" r:id="rId3" display="https://pbs.twimg.com/media/EK5AeeiWwAEndgl.jpg"/>
    <hyperlink ref="V3" r:id="rId4" display="https://pbs.twimg.com/media/EKKFomjXYAIwi-i.jpg"/>
    <hyperlink ref="V4" r:id="rId5" display="https://pbs.twimg.com/media/EKJ4oh6WkAI-UAC.jpg"/>
    <hyperlink ref="V5" r:id="rId6" display="http://pbs.twimg.com/profile_images/1044179426525761537/HcZurn5l_normal.jpg"/>
    <hyperlink ref="V6" r:id="rId7" display="http://pbs.twimg.com/profile_images/1044179426525761537/HcZurn5l_normal.jpg"/>
    <hyperlink ref="V7" r:id="rId8" display="https://pbs.twimg.com/media/EK5AeeiWwAEndgl.jpg"/>
    <hyperlink ref="V8" r:id="rId9" display="http://pbs.twimg.com/profile_images/721686527181504512/pXrfop2b_normal.jpg"/>
    <hyperlink ref="V9" r:id="rId10" display="http://pbs.twimg.com/profile_images/721686527181504512/pXrfop2b_normal.jpg"/>
    <hyperlink ref="V10" r:id="rId11" display="http://pbs.twimg.com/profile_images/1183534860033495040/Du8nVUdj_normal.jpg"/>
    <hyperlink ref="V11" r:id="rId12" display="http://pbs.twimg.com/profile_images/1214647369574309888/zRsh3ygM_normal.jpg"/>
    <hyperlink ref="V12" r:id="rId13" display="http://pbs.twimg.com/profile_images/1183534860033495040/Du8nVUdj_normal.jpg"/>
    <hyperlink ref="V13" r:id="rId14" display="http://pbs.twimg.com/profile_images/1214647369574309888/zRsh3ygM_normal.jpg"/>
    <hyperlink ref="V14" r:id="rId15" display="http://pbs.twimg.com/profile_images/1214647369574309888/zRsh3ygM_normal.jpg"/>
    <hyperlink ref="Z3" r:id="rId16" display="https://twitter.com/#!/nrenard75/status/1198667404244590592"/>
    <hyperlink ref="Z4" r:id="rId17" display="https://twitter.com/#!/nrenard75/status/1198653094999085056"/>
    <hyperlink ref="Z5" r:id="rId18" display="https://twitter.com/#!/cmelysee/status/1233796983464321027"/>
    <hyperlink ref="Z6" r:id="rId19" display="https://twitter.com/#!/cmelysee/status/1233796993744588800"/>
    <hyperlink ref="Z7" r:id="rId20" display="https://twitter.com/#!/lorentzmathias/status/1201959768614678530"/>
    <hyperlink ref="Z8" r:id="rId21" display="https://twitter.com/#!/rickbath33/status/1234143949226479617"/>
    <hyperlink ref="Z9" r:id="rId22" display="https://twitter.com/#!/rickbath33/status/1234143949226479617"/>
    <hyperlink ref="Z10" r:id="rId23" display="https://twitter.com/#!/spindocfrance/status/1198643658746191873"/>
    <hyperlink ref="Z11" r:id="rId24" display="https://twitter.com/#!/pierre_perret01/status/1234811709472333825"/>
    <hyperlink ref="Z12" r:id="rId25" display="https://twitter.com/#!/spindocfrance/status/1198643658746191873"/>
    <hyperlink ref="Z13" r:id="rId26" display="https://twitter.com/#!/pierre_perret01/status/1234811709472333825"/>
    <hyperlink ref="Z14" r:id="rId27" display="https://twitter.com/#!/pierre_perret01/status/1234811709472333825"/>
  </hyperlinks>
  <printOptions/>
  <pageMargins left="0.7" right="0.7" top="0.75" bottom="0.75" header="0.3" footer="0.3"/>
  <pageSetup horizontalDpi="600" verticalDpi="600" orientation="portrait" r:id="rId31"/>
  <legacyDrawing r:id="rId29"/>
  <tableParts>
    <tablePart r:id="rId3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279</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194</v>
      </c>
      <c r="AT2" s="13" t="s">
        <v>294</v>
      </c>
      <c r="AU2" s="13" t="s">
        <v>295</v>
      </c>
      <c r="AV2" s="13" t="s">
        <v>296</v>
      </c>
      <c r="AW2" s="13" t="s">
        <v>297</v>
      </c>
      <c r="AX2" s="13" t="s">
        <v>298</v>
      </c>
      <c r="AY2" s="13" t="s">
        <v>299</v>
      </c>
      <c r="AZ2" s="13" t="s">
        <v>403</v>
      </c>
      <c r="BA2" s="3"/>
      <c r="BB2" s="3"/>
    </row>
    <row r="3" spans="1:54" ht="15" customHeight="1">
      <c r="A3" s="50" t="s">
        <v>214</v>
      </c>
      <c r="B3" s="54"/>
      <c r="C3" s="54"/>
      <c r="D3" s="55"/>
      <c r="E3" s="56"/>
      <c r="F3" s="117" t="s">
        <v>335</v>
      </c>
      <c r="G3" s="54"/>
      <c r="H3" s="58" t="s">
        <v>214</v>
      </c>
      <c r="I3" s="57"/>
      <c r="J3" s="57"/>
      <c r="K3" s="119" t="s">
        <v>350</v>
      </c>
      <c r="L3" s="60"/>
      <c r="M3" s="61">
        <v>9883.13671875</v>
      </c>
      <c r="N3" s="61">
        <v>164.4572296142578</v>
      </c>
      <c r="O3" s="59"/>
      <c r="P3" s="62"/>
      <c r="Q3" s="62"/>
      <c r="R3" s="51"/>
      <c r="S3" s="51"/>
      <c r="T3" s="51"/>
      <c r="U3" s="51"/>
      <c r="V3" s="52"/>
      <c r="W3" s="52"/>
      <c r="X3" s="53"/>
      <c r="Y3" s="52"/>
      <c r="Z3" s="52"/>
      <c r="AA3" s="63">
        <v>3</v>
      </c>
      <c r="AB3" s="63"/>
      <c r="AC3" s="64"/>
      <c r="AD3" s="86" t="s">
        <v>300</v>
      </c>
      <c r="AE3" s="86">
        <v>7559</v>
      </c>
      <c r="AF3" s="86">
        <v>22273</v>
      </c>
      <c r="AG3" s="86">
        <v>287684</v>
      </c>
      <c r="AH3" s="86">
        <v>214549</v>
      </c>
      <c r="AI3" s="86"/>
      <c r="AJ3" s="86" t="s">
        <v>309</v>
      </c>
      <c r="AK3" s="86" t="s">
        <v>316</v>
      </c>
      <c r="AL3" s="86"/>
      <c r="AM3" s="86"/>
      <c r="AN3" s="88">
        <v>41080.562106481484</v>
      </c>
      <c r="AO3" s="90" t="s">
        <v>323</v>
      </c>
      <c r="AP3" s="86" t="b">
        <v>0</v>
      </c>
      <c r="AQ3" s="86" t="b">
        <v>0</v>
      </c>
      <c r="AR3" s="86" t="b">
        <v>0</v>
      </c>
      <c r="AS3" s="86"/>
      <c r="AT3" s="86">
        <v>354</v>
      </c>
      <c r="AU3" s="90" t="s">
        <v>332</v>
      </c>
      <c r="AV3" s="86" t="b">
        <v>0</v>
      </c>
      <c r="AW3" s="86" t="s">
        <v>340</v>
      </c>
      <c r="AX3" s="90" t="s">
        <v>341</v>
      </c>
      <c r="AY3" s="86" t="s">
        <v>66</v>
      </c>
      <c r="AZ3" s="86" t="str">
        <f>REPLACE(INDEX(GroupVertices[Group],MATCH(Vertices[[#This Row],[Vertex]],GroupVertices[Vertex],0)),1,1,"")</f>
        <v>3</v>
      </c>
      <c r="BA3" s="3"/>
      <c r="BB3" s="3"/>
    </row>
    <row r="4" spans="1:57" ht="15">
      <c r="A4" s="14" t="s">
        <v>215</v>
      </c>
      <c r="B4" s="15"/>
      <c r="C4" s="15"/>
      <c r="D4" s="96"/>
      <c r="E4" s="82"/>
      <c r="F4" s="117" t="s">
        <v>242</v>
      </c>
      <c r="G4" s="15"/>
      <c r="H4" s="16" t="s">
        <v>215</v>
      </c>
      <c r="I4" s="67"/>
      <c r="J4" s="67"/>
      <c r="K4" s="119" t="s">
        <v>351</v>
      </c>
      <c r="L4" s="97"/>
      <c r="M4" s="98">
        <v>4507.0810546875</v>
      </c>
      <c r="N4" s="98">
        <v>3930.528076171875</v>
      </c>
      <c r="O4" s="77"/>
      <c r="P4" s="99"/>
      <c r="Q4" s="99"/>
      <c r="R4" s="100"/>
      <c r="S4" s="100"/>
      <c r="T4" s="100"/>
      <c r="U4" s="100"/>
      <c r="V4" s="53"/>
      <c r="W4" s="53"/>
      <c r="X4" s="53"/>
      <c r="Y4" s="53"/>
      <c r="Z4" s="52"/>
      <c r="AA4" s="83">
        <v>4</v>
      </c>
      <c r="AB4" s="83"/>
      <c r="AC4" s="101"/>
      <c r="AD4" s="86" t="s">
        <v>301</v>
      </c>
      <c r="AE4" s="86">
        <v>330</v>
      </c>
      <c r="AF4" s="86">
        <v>843</v>
      </c>
      <c r="AG4" s="86">
        <v>48939</v>
      </c>
      <c r="AH4" s="86">
        <v>1326</v>
      </c>
      <c r="AI4" s="86"/>
      <c r="AJ4" s="86" t="s">
        <v>310</v>
      </c>
      <c r="AK4" s="86"/>
      <c r="AL4" s="86"/>
      <c r="AM4" s="86"/>
      <c r="AN4" s="88">
        <v>43367.453043981484</v>
      </c>
      <c r="AO4" s="90" t="s">
        <v>324</v>
      </c>
      <c r="AP4" s="86" t="b">
        <v>1</v>
      </c>
      <c r="AQ4" s="86" t="b">
        <v>0</v>
      </c>
      <c r="AR4" s="86" t="b">
        <v>0</v>
      </c>
      <c r="AS4" s="86"/>
      <c r="AT4" s="86">
        <v>1</v>
      </c>
      <c r="AU4" s="86"/>
      <c r="AV4" s="86" t="b">
        <v>0</v>
      </c>
      <c r="AW4" s="86" t="s">
        <v>340</v>
      </c>
      <c r="AX4" s="90" t="s">
        <v>342</v>
      </c>
      <c r="AY4" s="86" t="s">
        <v>66</v>
      </c>
      <c r="AZ4" s="86" t="str">
        <f>REPLACE(INDEX(GroupVertices[Group],MATCH(Vertices[[#This Row],[Vertex]],GroupVertices[Vertex],0)),1,1,"")</f>
        <v>3</v>
      </c>
      <c r="BA4" s="2"/>
      <c r="BB4" s="3"/>
      <c r="BC4" s="3"/>
      <c r="BD4" s="3"/>
      <c r="BE4" s="3"/>
    </row>
    <row r="5" spans="1:57" ht="15">
      <c r="A5" s="14" t="s">
        <v>216</v>
      </c>
      <c r="B5" s="15"/>
      <c r="C5" s="15"/>
      <c r="D5" s="96"/>
      <c r="E5" s="82"/>
      <c r="F5" s="117" t="s">
        <v>336</v>
      </c>
      <c r="G5" s="15"/>
      <c r="H5" s="16" t="s">
        <v>216</v>
      </c>
      <c r="I5" s="67"/>
      <c r="J5" s="67"/>
      <c r="K5" s="119" t="s">
        <v>352</v>
      </c>
      <c r="L5" s="97"/>
      <c r="M5" s="98">
        <v>8539.123046875</v>
      </c>
      <c r="N5" s="98">
        <v>8399.6533203125</v>
      </c>
      <c r="O5" s="77"/>
      <c r="P5" s="99"/>
      <c r="Q5" s="99"/>
      <c r="R5" s="100"/>
      <c r="S5" s="100"/>
      <c r="T5" s="100"/>
      <c r="U5" s="100"/>
      <c r="V5" s="53"/>
      <c r="W5" s="53"/>
      <c r="X5" s="53"/>
      <c r="Y5" s="53"/>
      <c r="Z5" s="52"/>
      <c r="AA5" s="83">
        <v>5</v>
      </c>
      <c r="AB5" s="83"/>
      <c r="AC5" s="101"/>
      <c r="AD5" s="86" t="s">
        <v>302</v>
      </c>
      <c r="AE5" s="86">
        <v>75</v>
      </c>
      <c r="AF5" s="86">
        <v>4982</v>
      </c>
      <c r="AG5" s="86">
        <v>11551</v>
      </c>
      <c r="AH5" s="86">
        <v>45545</v>
      </c>
      <c r="AI5" s="86"/>
      <c r="AJ5" s="86" t="s">
        <v>311</v>
      </c>
      <c r="AK5" s="86"/>
      <c r="AL5" s="86"/>
      <c r="AM5" s="86"/>
      <c r="AN5" s="88">
        <v>43475.35444444444</v>
      </c>
      <c r="AO5" s="90" t="s">
        <v>325</v>
      </c>
      <c r="AP5" s="86" t="b">
        <v>1</v>
      </c>
      <c r="AQ5" s="86" t="b">
        <v>0</v>
      </c>
      <c r="AR5" s="86" t="b">
        <v>0</v>
      </c>
      <c r="AS5" s="86"/>
      <c r="AT5" s="86">
        <v>20</v>
      </c>
      <c r="AU5" s="86"/>
      <c r="AV5" s="86" t="b">
        <v>0</v>
      </c>
      <c r="AW5" s="86" t="s">
        <v>340</v>
      </c>
      <c r="AX5" s="90" t="s">
        <v>343</v>
      </c>
      <c r="AY5" s="86" t="s">
        <v>66</v>
      </c>
      <c r="AZ5" s="86" t="str">
        <f>REPLACE(INDEX(GroupVertices[Group],MATCH(Vertices[[#This Row],[Vertex]],GroupVertices[Vertex],0)),1,1,"")</f>
        <v>2</v>
      </c>
      <c r="BA5" s="2"/>
      <c r="BB5" s="3"/>
      <c r="BC5" s="3"/>
      <c r="BD5" s="3"/>
      <c r="BE5" s="3"/>
    </row>
    <row r="6" spans="1:57" ht="15">
      <c r="A6" s="14" t="s">
        <v>220</v>
      </c>
      <c r="B6" s="15"/>
      <c r="C6" s="15"/>
      <c r="D6" s="96"/>
      <c r="E6" s="82"/>
      <c r="F6" s="117" t="s">
        <v>337</v>
      </c>
      <c r="G6" s="15"/>
      <c r="H6" s="16" t="s">
        <v>220</v>
      </c>
      <c r="I6" s="67"/>
      <c r="J6" s="67"/>
      <c r="K6" s="119" t="s">
        <v>353</v>
      </c>
      <c r="L6" s="97"/>
      <c r="M6" s="98">
        <v>5851.09521484375</v>
      </c>
      <c r="N6" s="98">
        <v>5529.87451171875</v>
      </c>
      <c r="O6" s="77"/>
      <c r="P6" s="99"/>
      <c r="Q6" s="99"/>
      <c r="R6" s="100"/>
      <c r="S6" s="100"/>
      <c r="T6" s="100"/>
      <c r="U6" s="100"/>
      <c r="V6" s="53"/>
      <c r="W6" s="53"/>
      <c r="X6" s="53"/>
      <c r="Y6" s="53"/>
      <c r="Z6" s="52"/>
      <c r="AA6" s="83">
        <v>6</v>
      </c>
      <c r="AB6" s="83"/>
      <c r="AC6" s="101"/>
      <c r="AD6" s="86" t="s">
        <v>303</v>
      </c>
      <c r="AE6" s="86">
        <v>4300</v>
      </c>
      <c r="AF6" s="86">
        <v>48754</v>
      </c>
      <c r="AG6" s="86">
        <v>220002</v>
      </c>
      <c r="AH6" s="86">
        <v>1439</v>
      </c>
      <c r="AI6" s="86"/>
      <c r="AJ6" s="86" t="s">
        <v>312</v>
      </c>
      <c r="AK6" s="86" t="s">
        <v>317</v>
      </c>
      <c r="AL6" s="90" t="s">
        <v>322</v>
      </c>
      <c r="AM6" s="86"/>
      <c r="AN6" s="88">
        <v>40006.620625</v>
      </c>
      <c r="AO6" s="90" t="s">
        <v>326</v>
      </c>
      <c r="AP6" s="86" t="b">
        <v>0</v>
      </c>
      <c r="AQ6" s="86" t="b">
        <v>0</v>
      </c>
      <c r="AR6" s="86" t="b">
        <v>1</v>
      </c>
      <c r="AS6" s="86"/>
      <c r="AT6" s="86">
        <v>847</v>
      </c>
      <c r="AU6" s="90" t="s">
        <v>333</v>
      </c>
      <c r="AV6" s="86" t="b">
        <v>0</v>
      </c>
      <c r="AW6" s="86" t="s">
        <v>340</v>
      </c>
      <c r="AX6" s="90" t="s">
        <v>344</v>
      </c>
      <c r="AY6" s="86" t="s">
        <v>65</v>
      </c>
      <c r="AZ6" s="86" t="str">
        <f>REPLACE(INDEX(GroupVertices[Group],MATCH(Vertices[[#This Row],[Vertex]],GroupVertices[Vertex],0)),1,1,"")</f>
        <v>2</v>
      </c>
      <c r="BA6" s="2"/>
      <c r="BB6" s="3"/>
      <c r="BC6" s="3"/>
      <c r="BD6" s="3"/>
      <c r="BE6" s="3"/>
    </row>
    <row r="7" spans="1:57" ht="15">
      <c r="A7" s="14" t="s">
        <v>217</v>
      </c>
      <c r="B7" s="15"/>
      <c r="C7" s="15"/>
      <c r="D7" s="96"/>
      <c r="E7" s="82"/>
      <c r="F7" s="117" t="s">
        <v>243</v>
      </c>
      <c r="G7" s="15"/>
      <c r="H7" s="16" t="s">
        <v>217</v>
      </c>
      <c r="I7" s="67"/>
      <c r="J7" s="67"/>
      <c r="K7" s="119" t="s">
        <v>354</v>
      </c>
      <c r="L7" s="97"/>
      <c r="M7" s="98">
        <v>5851.09521484375</v>
      </c>
      <c r="N7" s="98">
        <v>8399.6533203125</v>
      </c>
      <c r="O7" s="77"/>
      <c r="P7" s="99"/>
      <c r="Q7" s="99"/>
      <c r="R7" s="100"/>
      <c r="S7" s="100"/>
      <c r="T7" s="100"/>
      <c r="U7" s="100"/>
      <c r="V7" s="53"/>
      <c r="W7" s="53"/>
      <c r="X7" s="53"/>
      <c r="Y7" s="53"/>
      <c r="Z7" s="52"/>
      <c r="AA7" s="83">
        <v>7</v>
      </c>
      <c r="AB7" s="83"/>
      <c r="AC7" s="101"/>
      <c r="AD7" s="86" t="s">
        <v>304</v>
      </c>
      <c r="AE7" s="86">
        <v>2012</v>
      </c>
      <c r="AF7" s="86">
        <v>1572</v>
      </c>
      <c r="AG7" s="86">
        <v>190759</v>
      </c>
      <c r="AH7" s="86">
        <v>112082</v>
      </c>
      <c r="AI7" s="86"/>
      <c r="AJ7" s="86"/>
      <c r="AK7" s="86" t="s">
        <v>318</v>
      </c>
      <c r="AL7" s="86"/>
      <c r="AM7" s="86"/>
      <c r="AN7" s="88">
        <v>42397.56521990741</v>
      </c>
      <c r="AO7" s="90" t="s">
        <v>327</v>
      </c>
      <c r="AP7" s="86" t="b">
        <v>1</v>
      </c>
      <c r="AQ7" s="86" t="b">
        <v>0</v>
      </c>
      <c r="AR7" s="86" t="b">
        <v>0</v>
      </c>
      <c r="AS7" s="86"/>
      <c r="AT7" s="86">
        <v>98</v>
      </c>
      <c r="AU7" s="86"/>
      <c r="AV7" s="86" t="b">
        <v>0</v>
      </c>
      <c r="AW7" s="86" t="s">
        <v>340</v>
      </c>
      <c r="AX7" s="90" t="s">
        <v>345</v>
      </c>
      <c r="AY7" s="86" t="s">
        <v>66</v>
      </c>
      <c r="AZ7" s="86" t="str">
        <f>REPLACE(INDEX(GroupVertices[Group],MATCH(Vertices[[#This Row],[Vertex]],GroupVertices[Vertex],0)),1,1,"")</f>
        <v>2</v>
      </c>
      <c r="BA7" s="2"/>
      <c r="BB7" s="3"/>
      <c r="BC7" s="3"/>
      <c r="BD7" s="3"/>
      <c r="BE7" s="3"/>
    </row>
    <row r="8" spans="1:57" ht="15">
      <c r="A8" s="14" t="s">
        <v>218</v>
      </c>
      <c r="B8" s="15"/>
      <c r="C8" s="15"/>
      <c r="D8" s="96"/>
      <c r="E8" s="82"/>
      <c r="F8" s="117" t="s">
        <v>244</v>
      </c>
      <c r="G8" s="15"/>
      <c r="H8" s="16" t="s">
        <v>218</v>
      </c>
      <c r="I8" s="67"/>
      <c r="J8" s="67"/>
      <c r="K8" s="119" t="s">
        <v>355</v>
      </c>
      <c r="L8" s="97"/>
      <c r="M8" s="98">
        <v>2681.075927734375</v>
      </c>
      <c r="N8" s="98">
        <v>5966.50830078125</v>
      </c>
      <c r="O8" s="77"/>
      <c r="P8" s="99"/>
      <c r="Q8" s="99"/>
      <c r="R8" s="100"/>
      <c r="S8" s="100"/>
      <c r="T8" s="100"/>
      <c r="U8" s="100"/>
      <c r="V8" s="53"/>
      <c r="W8" s="53"/>
      <c r="X8" s="53"/>
      <c r="Y8" s="53"/>
      <c r="Z8" s="52"/>
      <c r="AA8" s="83">
        <v>8</v>
      </c>
      <c r="AB8" s="83"/>
      <c r="AC8" s="101"/>
      <c r="AD8" s="86" t="s">
        <v>305</v>
      </c>
      <c r="AE8" s="86">
        <v>140</v>
      </c>
      <c r="AF8" s="86">
        <v>100</v>
      </c>
      <c r="AG8" s="86">
        <v>5589</v>
      </c>
      <c r="AH8" s="86">
        <v>1902</v>
      </c>
      <c r="AI8" s="86"/>
      <c r="AJ8" s="86" t="s">
        <v>313</v>
      </c>
      <c r="AK8" s="86" t="s">
        <v>319</v>
      </c>
      <c r="AL8" s="86"/>
      <c r="AM8" s="86"/>
      <c r="AN8" s="88">
        <v>43447.50568287037</v>
      </c>
      <c r="AO8" s="90" t="s">
        <v>328</v>
      </c>
      <c r="AP8" s="86" t="b">
        <v>0</v>
      </c>
      <c r="AQ8" s="86" t="b">
        <v>0</v>
      </c>
      <c r="AR8" s="86" t="b">
        <v>0</v>
      </c>
      <c r="AS8" s="86"/>
      <c r="AT8" s="86">
        <v>0</v>
      </c>
      <c r="AU8" s="90" t="s">
        <v>332</v>
      </c>
      <c r="AV8" s="86" t="b">
        <v>0</v>
      </c>
      <c r="AW8" s="86" t="s">
        <v>340</v>
      </c>
      <c r="AX8" s="90" t="s">
        <v>346</v>
      </c>
      <c r="AY8" s="86" t="s">
        <v>66</v>
      </c>
      <c r="AZ8" s="86" t="str">
        <f>REPLACE(INDEX(GroupVertices[Group],MATCH(Vertices[[#This Row],[Vertex]],GroupVertices[Vertex],0)),1,1,"")</f>
        <v>1</v>
      </c>
      <c r="BA8" s="2"/>
      <c r="BB8" s="3"/>
      <c r="BC8" s="3"/>
      <c r="BD8" s="3"/>
      <c r="BE8" s="3"/>
    </row>
    <row r="9" spans="1:57" ht="15">
      <c r="A9" s="14" t="s">
        <v>221</v>
      </c>
      <c r="B9" s="15"/>
      <c r="C9" s="15"/>
      <c r="D9" s="96"/>
      <c r="E9" s="82"/>
      <c r="F9" s="117" t="s">
        <v>338</v>
      </c>
      <c r="G9" s="15"/>
      <c r="H9" s="16" t="s">
        <v>221</v>
      </c>
      <c r="I9" s="67"/>
      <c r="J9" s="67"/>
      <c r="K9" s="119" t="s">
        <v>356</v>
      </c>
      <c r="L9" s="97"/>
      <c r="M9" s="98">
        <v>4391.2177734375</v>
      </c>
      <c r="N9" s="98">
        <v>9834.54296875</v>
      </c>
      <c r="O9" s="77"/>
      <c r="P9" s="99"/>
      <c r="Q9" s="99"/>
      <c r="R9" s="100"/>
      <c r="S9" s="100"/>
      <c r="T9" s="100"/>
      <c r="U9" s="100"/>
      <c r="V9" s="53"/>
      <c r="W9" s="53"/>
      <c r="X9" s="53"/>
      <c r="Y9" s="53"/>
      <c r="Z9" s="52"/>
      <c r="AA9" s="83">
        <v>9</v>
      </c>
      <c r="AB9" s="83"/>
      <c r="AC9" s="101"/>
      <c r="AD9" s="86" t="s">
        <v>306</v>
      </c>
      <c r="AE9" s="86">
        <v>729</v>
      </c>
      <c r="AF9" s="86">
        <v>723</v>
      </c>
      <c r="AG9" s="86">
        <v>18714</v>
      </c>
      <c r="AH9" s="86">
        <v>33801</v>
      </c>
      <c r="AI9" s="86"/>
      <c r="AJ9" s="86" t="s">
        <v>314</v>
      </c>
      <c r="AK9" s="86" t="s">
        <v>320</v>
      </c>
      <c r="AL9" s="86"/>
      <c r="AM9" s="86"/>
      <c r="AN9" s="88">
        <v>40001.82608796296</v>
      </c>
      <c r="AO9" s="90" t="s">
        <v>329</v>
      </c>
      <c r="AP9" s="86" t="b">
        <v>1</v>
      </c>
      <c r="AQ9" s="86" t="b">
        <v>0</v>
      </c>
      <c r="AR9" s="86" t="b">
        <v>0</v>
      </c>
      <c r="AS9" s="86"/>
      <c r="AT9" s="86">
        <v>13</v>
      </c>
      <c r="AU9" s="90" t="s">
        <v>332</v>
      </c>
      <c r="AV9" s="86" t="b">
        <v>0</v>
      </c>
      <c r="AW9" s="86" t="s">
        <v>340</v>
      </c>
      <c r="AX9" s="90" t="s">
        <v>347</v>
      </c>
      <c r="AY9" s="86" t="s">
        <v>65</v>
      </c>
      <c r="AZ9" s="86" t="str">
        <f>REPLACE(INDEX(GroupVertices[Group],MATCH(Vertices[[#This Row],[Vertex]],GroupVertices[Vertex],0)),1,1,"")</f>
        <v>1</v>
      </c>
      <c r="BA9" s="2"/>
      <c r="BB9" s="3"/>
      <c r="BC9" s="3"/>
      <c r="BD9" s="3"/>
      <c r="BE9" s="3"/>
    </row>
    <row r="10" spans="1:57" ht="15">
      <c r="A10" s="14" t="s">
        <v>219</v>
      </c>
      <c r="B10" s="15"/>
      <c r="C10" s="15"/>
      <c r="D10" s="96"/>
      <c r="E10" s="82"/>
      <c r="F10" s="117" t="s">
        <v>245</v>
      </c>
      <c r="G10" s="15"/>
      <c r="H10" s="16" t="s">
        <v>219</v>
      </c>
      <c r="I10" s="67"/>
      <c r="J10" s="67"/>
      <c r="K10" s="119" t="s">
        <v>357</v>
      </c>
      <c r="L10" s="97"/>
      <c r="M10" s="98">
        <v>115.86326599121094</v>
      </c>
      <c r="N10" s="98">
        <v>164.4572296142578</v>
      </c>
      <c r="O10" s="77"/>
      <c r="P10" s="99"/>
      <c r="Q10" s="99"/>
      <c r="R10" s="100"/>
      <c r="S10" s="100"/>
      <c r="T10" s="100"/>
      <c r="U10" s="100"/>
      <c r="V10" s="53"/>
      <c r="W10" s="53"/>
      <c r="X10" s="53"/>
      <c r="Y10" s="53"/>
      <c r="Z10" s="52"/>
      <c r="AA10" s="83">
        <v>10</v>
      </c>
      <c r="AB10" s="83"/>
      <c r="AC10" s="101"/>
      <c r="AD10" s="86" t="s">
        <v>307</v>
      </c>
      <c r="AE10" s="86">
        <v>98</v>
      </c>
      <c r="AF10" s="86">
        <v>67</v>
      </c>
      <c r="AG10" s="86">
        <v>7623</v>
      </c>
      <c r="AH10" s="86">
        <v>8116</v>
      </c>
      <c r="AI10" s="86"/>
      <c r="AJ10" s="86"/>
      <c r="AK10" s="86" t="s">
        <v>321</v>
      </c>
      <c r="AL10" s="86"/>
      <c r="AM10" s="86"/>
      <c r="AN10" s="88">
        <v>43682.689733796295</v>
      </c>
      <c r="AO10" s="90" t="s">
        <v>330</v>
      </c>
      <c r="AP10" s="86" t="b">
        <v>1</v>
      </c>
      <c r="AQ10" s="86" t="b">
        <v>0</v>
      </c>
      <c r="AR10" s="86" t="b">
        <v>0</v>
      </c>
      <c r="AS10" s="86"/>
      <c r="AT10" s="86">
        <v>0</v>
      </c>
      <c r="AU10" s="86"/>
      <c r="AV10" s="86" t="b">
        <v>0</v>
      </c>
      <c r="AW10" s="86" t="s">
        <v>340</v>
      </c>
      <c r="AX10" s="90" t="s">
        <v>348</v>
      </c>
      <c r="AY10" s="86" t="s">
        <v>66</v>
      </c>
      <c r="AZ10" s="86" t="str">
        <f>REPLACE(INDEX(GroupVertices[Group],MATCH(Vertices[[#This Row],[Vertex]],GroupVertices[Vertex],0)),1,1,"")</f>
        <v>1</v>
      </c>
      <c r="BA10" s="2"/>
      <c r="BB10" s="3"/>
      <c r="BC10" s="3"/>
      <c r="BD10" s="3"/>
      <c r="BE10" s="3"/>
    </row>
    <row r="11" spans="1:57" ht="15">
      <c r="A11" s="102" t="s">
        <v>222</v>
      </c>
      <c r="B11" s="103"/>
      <c r="C11" s="103"/>
      <c r="D11" s="104"/>
      <c r="E11" s="105"/>
      <c r="F11" s="118" t="s">
        <v>339</v>
      </c>
      <c r="G11" s="103"/>
      <c r="H11" s="106" t="s">
        <v>222</v>
      </c>
      <c r="I11" s="107"/>
      <c r="J11" s="107"/>
      <c r="K11" s="120" t="s">
        <v>358</v>
      </c>
      <c r="L11" s="108"/>
      <c r="M11" s="109">
        <v>970.9342651367188</v>
      </c>
      <c r="N11" s="109">
        <v>2098.474609375</v>
      </c>
      <c r="O11" s="110"/>
      <c r="P11" s="111"/>
      <c r="Q11" s="111"/>
      <c r="R11" s="112"/>
      <c r="S11" s="112"/>
      <c r="T11" s="112"/>
      <c r="U11" s="112"/>
      <c r="V11" s="113"/>
      <c r="W11" s="113"/>
      <c r="X11" s="113"/>
      <c r="Y11" s="113"/>
      <c r="Z11" s="114"/>
      <c r="AA11" s="115">
        <v>11</v>
      </c>
      <c r="AB11" s="115"/>
      <c r="AC11" s="116"/>
      <c r="AD11" s="86" t="s">
        <v>308</v>
      </c>
      <c r="AE11" s="86">
        <v>13415</v>
      </c>
      <c r="AF11" s="86">
        <v>21795</v>
      </c>
      <c r="AG11" s="86">
        <v>308516</v>
      </c>
      <c r="AH11" s="86">
        <v>162265</v>
      </c>
      <c r="AI11" s="86"/>
      <c r="AJ11" s="86" t="s">
        <v>315</v>
      </c>
      <c r="AK11" s="86"/>
      <c r="AL11" s="86"/>
      <c r="AM11" s="86"/>
      <c r="AN11" s="88">
        <v>40552.44615740741</v>
      </c>
      <c r="AO11" s="90" t="s">
        <v>331</v>
      </c>
      <c r="AP11" s="86" t="b">
        <v>0</v>
      </c>
      <c r="AQ11" s="86" t="b">
        <v>0</v>
      </c>
      <c r="AR11" s="86" t="b">
        <v>1</v>
      </c>
      <c r="AS11" s="86"/>
      <c r="AT11" s="86">
        <v>354</v>
      </c>
      <c r="AU11" s="90" t="s">
        <v>334</v>
      </c>
      <c r="AV11" s="86" t="b">
        <v>1</v>
      </c>
      <c r="AW11" s="86" t="s">
        <v>340</v>
      </c>
      <c r="AX11" s="90" t="s">
        <v>349</v>
      </c>
      <c r="AY11" s="86" t="s">
        <v>65</v>
      </c>
      <c r="AZ11" s="86" t="str">
        <f>REPLACE(INDEX(GroupVertices[Group],MATCH(Vertices[[#This Row],[Vertex]],GroupVertices[Vertex],0)),1,1,"")</f>
        <v>1</v>
      </c>
      <c r="BA11" s="2"/>
      <c r="BB11" s="3"/>
      <c r="BC11" s="3"/>
      <c r="BD11" s="3"/>
      <c r="BE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6" r:id="rId1" display="http://www.filoche.net/"/>
    <hyperlink ref="AO3" r:id="rId2" display="https://pbs.twimg.com/profile_banners/613519689/1500668724"/>
    <hyperlink ref="AO4" r:id="rId3" display="https://pbs.twimg.com/profile_banners/1044177722891808771/1573670288"/>
    <hyperlink ref="AO5" r:id="rId4" display="https://pbs.twimg.com/profile_banners/1083279881209896966/1548789242"/>
    <hyperlink ref="AO6" r:id="rId5" display="https://pbs.twimg.com/profile_banners/56107736/1454678216"/>
    <hyperlink ref="AO7" r:id="rId6" display="https://pbs.twimg.com/profile_banners/4857221537/1460898450"/>
    <hyperlink ref="AO8" r:id="rId7" display="https://pbs.twimg.com/profile_banners/1073187826982940672/1571011675"/>
    <hyperlink ref="AO9" r:id="rId8" display="https://pbs.twimg.com/profile_banners/54654020/1469084548"/>
    <hyperlink ref="AO10" r:id="rId9" display="https://pbs.twimg.com/profile_banners/1158415674487824384/1578429474"/>
    <hyperlink ref="AO11" r:id="rId10" display="https://pbs.twimg.com/profile_banners/235910137/1570652870"/>
    <hyperlink ref="AU3" r:id="rId11" display="http://abs.twimg.com/images/themes/theme1/bg.png"/>
    <hyperlink ref="AU6" r:id="rId12" display="http://abs.twimg.com/images/themes/theme2/bg.gif"/>
    <hyperlink ref="AU8" r:id="rId13" display="http://abs.twimg.com/images/themes/theme1/bg.png"/>
    <hyperlink ref="AU9" r:id="rId14" display="http://abs.twimg.com/images/themes/theme1/bg.png"/>
    <hyperlink ref="AU11" r:id="rId15" display="http://abs.twimg.com/images/themes/theme6/bg.gif"/>
    <hyperlink ref="F3" r:id="rId16" display="http://pbs.twimg.com/profile_images/916011795130781697/0lsgMypo_normal.jpg"/>
    <hyperlink ref="F4" r:id="rId17" display="http://pbs.twimg.com/profile_images/1044179426525761537/HcZurn5l_normal.jpg"/>
    <hyperlink ref="F5" r:id="rId18" display="http://pbs.twimg.com/profile_images/1095320618411716611/v0UuBB1__normal.jpg"/>
    <hyperlink ref="F6" r:id="rId19" display="http://pbs.twimg.com/profile_images/309908907/filoche1_normal.jpg"/>
    <hyperlink ref="F7" r:id="rId20" display="http://pbs.twimg.com/profile_images/721686527181504512/pXrfop2b_normal.jpg"/>
    <hyperlink ref="F8" r:id="rId21" display="http://pbs.twimg.com/profile_images/1183534860033495040/Du8nVUdj_normal.jpg"/>
    <hyperlink ref="F9" r:id="rId22" display="http://pbs.twimg.com/profile_images/893585019024920576/3C3HEeEO_normal.jpg"/>
    <hyperlink ref="F10" r:id="rId23" display="http://pbs.twimg.com/profile_images/1214647369574309888/zRsh3ygM_normal.jpg"/>
    <hyperlink ref="F11" r:id="rId24" display="http://pbs.twimg.com/profile_images/1202342217584709640/FtAWURYd_normal.jpg"/>
    <hyperlink ref="AX3" r:id="rId25" display="https://twitter.com/nrenard75"/>
    <hyperlink ref="AX4" r:id="rId26" display="https://twitter.com/cmelysee"/>
    <hyperlink ref="AX5" r:id="rId27" display="https://twitter.com/lorentzmathias"/>
    <hyperlink ref="AX6" r:id="rId28" display="https://twitter.com/gerardfiloche"/>
    <hyperlink ref="AX7" r:id="rId29" display="https://twitter.com/rickbath33"/>
    <hyperlink ref="AX8" r:id="rId30" display="https://twitter.com/spindocfrance"/>
    <hyperlink ref="AX9" r:id="rId31" display="https://twitter.com/miyel19"/>
    <hyperlink ref="AX10" r:id="rId32" display="https://twitter.com/pierre_perret01"/>
    <hyperlink ref="AX11" r:id="rId33" display="https://twitter.com/pschydlowski"/>
  </hyperlinks>
  <printOptions/>
  <pageMargins left="0.7" right="0.7" top="0.75" bottom="0.75" header="0.3" footer="0.3"/>
  <pageSetup horizontalDpi="600" verticalDpi="600" orientation="portrait" r:id="rId37"/>
  <legacyDrawing r:id="rId35"/>
  <tableParts>
    <tablePart r:id="rId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406</v>
      </c>
    </row>
    <row r="3" spans="1:25" ht="15">
      <c r="A3" s="129" t="s">
        <v>397</v>
      </c>
      <c r="B3" s="130" t="s">
        <v>400</v>
      </c>
      <c r="C3" s="130" t="s">
        <v>56</v>
      </c>
      <c r="D3" s="122"/>
      <c r="E3" s="121"/>
      <c r="F3" s="123" t="s">
        <v>397</v>
      </c>
      <c r="G3" s="124"/>
      <c r="H3" s="124"/>
      <c r="I3" s="125">
        <v>3</v>
      </c>
      <c r="J3" s="126"/>
      <c r="K3" s="51">
        <v>4</v>
      </c>
      <c r="L3" s="51">
        <v>5</v>
      </c>
      <c r="M3" s="51">
        <v>0</v>
      </c>
      <c r="N3" s="51">
        <v>5</v>
      </c>
      <c r="O3" s="51">
        <v>0</v>
      </c>
      <c r="P3" s="52">
        <v>0</v>
      </c>
      <c r="Q3" s="52">
        <v>0</v>
      </c>
      <c r="R3" s="51">
        <v>1</v>
      </c>
      <c r="S3" s="51">
        <v>0</v>
      </c>
      <c r="T3" s="51">
        <v>4</v>
      </c>
      <c r="U3" s="51">
        <v>5</v>
      </c>
      <c r="V3" s="51">
        <v>2</v>
      </c>
      <c r="W3" s="52">
        <v>0.875</v>
      </c>
      <c r="X3" s="52">
        <v>0.4166666666666667</v>
      </c>
      <c r="Y3" s="86"/>
    </row>
    <row r="4" spans="1:25" ht="15">
      <c r="A4" s="129" t="s">
        <v>398</v>
      </c>
      <c r="B4" s="130" t="s">
        <v>401</v>
      </c>
      <c r="C4" s="130" t="s">
        <v>56</v>
      </c>
      <c r="D4" s="127"/>
      <c r="E4" s="103"/>
      <c r="F4" s="106" t="s">
        <v>398</v>
      </c>
      <c r="G4" s="110"/>
      <c r="H4" s="110"/>
      <c r="I4" s="128">
        <v>4</v>
      </c>
      <c r="J4" s="115"/>
      <c r="K4" s="51">
        <v>3</v>
      </c>
      <c r="L4" s="51">
        <v>3</v>
      </c>
      <c r="M4" s="51">
        <v>0</v>
      </c>
      <c r="N4" s="51">
        <v>3</v>
      </c>
      <c r="O4" s="51">
        <v>0</v>
      </c>
      <c r="P4" s="52">
        <v>0</v>
      </c>
      <c r="Q4" s="52">
        <v>0</v>
      </c>
      <c r="R4" s="51">
        <v>1</v>
      </c>
      <c r="S4" s="51">
        <v>0</v>
      </c>
      <c r="T4" s="51">
        <v>3</v>
      </c>
      <c r="U4" s="51">
        <v>3</v>
      </c>
      <c r="V4" s="51">
        <v>1</v>
      </c>
      <c r="W4" s="52">
        <v>0.666667</v>
      </c>
      <c r="X4" s="52">
        <v>0.5</v>
      </c>
      <c r="Y4" s="86"/>
    </row>
    <row r="5" spans="1:25" ht="15">
      <c r="A5" s="129" t="s">
        <v>399</v>
      </c>
      <c r="B5" s="130" t="s">
        <v>402</v>
      </c>
      <c r="C5" s="130" t="s">
        <v>56</v>
      </c>
      <c r="D5" s="127"/>
      <c r="E5" s="103"/>
      <c r="F5" s="106" t="s">
        <v>399</v>
      </c>
      <c r="G5" s="110"/>
      <c r="H5" s="110"/>
      <c r="I5" s="128">
        <v>5</v>
      </c>
      <c r="J5" s="115"/>
      <c r="K5" s="51">
        <v>2</v>
      </c>
      <c r="L5" s="51">
        <v>0</v>
      </c>
      <c r="M5" s="51">
        <v>4</v>
      </c>
      <c r="N5" s="51">
        <v>4</v>
      </c>
      <c r="O5" s="51">
        <v>0</v>
      </c>
      <c r="P5" s="52">
        <v>1</v>
      </c>
      <c r="Q5" s="52">
        <v>1</v>
      </c>
      <c r="R5" s="51">
        <v>1</v>
      </c>
      <c r="S5" s="51">
        <v>0</v>
      </c>
      <c r="T5" s="51">
        <v>2</v>
      </c>
      <c r="U5" s="51">
        <v>4</v>
      </c>
      <c r="V5" s="51">
        <v>1</v>
      </c>
      <c r="W5" s="52">
        <v>0.5</v>
      </c>
      <c r="X5" s="52">
        <v>1</v>
      </c>
      <c r="Y5" s="86"/>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397</v>
      </c>
      <c r="B2" s="94" t="s">
        <v>219</v>
      </c>
      <c r="C2" s="86">
        <f>VLOOKUP(GroupVertices[[#This Row],[Vertex]],Vertices[],MATCH("ID",Vertices[[#Headers],[Vertex]:[Vertex Group]],0),FALSE)</f>
        <v>10</v>
      </c>
    </row>
    <row r="3" spans="1:3" ht="15">
      <c r="A3" s="86" t="s">
        <v>397</v>
      </c>
      <c r="B3" s="94" t="s">
        <v>222</v>
      </c>
      <c r="C3" s="86">
        <f>VLOOKUP(GroupVertices[[#This Row],[Vertex]],Vertices[],MATCH("ID",Vertices[[#Headers],[Vertex]:[Vertex Group]],0),FALSE)</f>
        <v>11</v>
      </c>
    </row>
    <row r="4" spans="1:3" ht="15">
      <c r="A4" s="86" t="s">
        <v>397</v>
      </c>
      <c r="B4" s="94" t="s">
        <v>218</v>
      </c>
      <c r="C4" s="86">
        <f>VLOOKUP(GroupVertices[[#This Row],[Vertex]],Vertices[],MATCH("ID",Vertices[[#Headers],[Vertex]:[Vertex Group]],0),FALSE)</f>
        <v>8</v>
      </c>
    </row>
    <row r="5" spans="1:3" ht="15">
      <c r="A5" s="86" t="s">
        <v>397</v>
      </c>
      <c r="B5" s="94" t="s">
        <v>221</v>
      </c>
      <c r="C5" s="86">
        <f>VLOOKUP(GroupVertices[[#This Row],[Vertex]],Vertices[],MATCH("ID",Vertices[[#Headers],[Vertex]:[Vertex Group]],0),FALSE)</f>
        <v>9</v>
      </c>
    </row>
    <row r="6" spans="1:3" ht="15">
      <c r="A6" s="86" t="s">
        <v>398</v>
      </c>
      <c r="B6" s="94" t="s">
        <v>217</v>
      </c>
      <c r="C6" s="86">
        <f>VLOOKUP(GroupVertices[[#This Row],[Vertex]],Vertices[],MATCH("ID",Vertices[[#Headers],[Vertex]:[Vertex Group]],0),FALSE)</f>
        <v>7</v>
      </c>
    </row>
    <row r="7" spans="1:3" ht="15">
      <c r="A7" s="86" t="s">
        <v>398</v>
      </c>
      <c r="B7" s="94" t="s">
        <v>216</v>
      </c>
      <c r="C7" s="86">
        <f>VLOOKUP(GroupVertices[[#This Row],[Vertex]],Vertices[],MATCH("ID",Vertices[[#Headers],[Vertex]:[Vertex Group]],0),FALSE)</f>
        <v>5</v>
      </c>
    </row>
    <row r="8" spans="1:3" ht="15">
      <c r="A8" s="86" t="s">
        <v>398</v>
      </c>
      <c r="B8" s="94" t="s">
        <v>220</v>
      </c>
      <c r="C8" s="86">
        <f>VLOOKUP(GroupVertices[[#This Row],[Vertex]],Vertices[],MATCH("ID",Vertices[[#Headers],[Vertex]:[Vertex Group]],0),FALSE)</f>
        <v>6</v>
      </c>
    </row>
    <row r="9" spans="1:3" ht="15">
      <c r="A9" s="86" t="s">
        <v>399</v>
      </c>
      <c r="B9" s="94" t="s">
        <v>215</v>
      </c>
      <c r="C9" s="86">
        <f>VLOOKUP(GroupVertices[[#This Row],[Vertex]],Vertices[],MATCH("ID",Vertices[[#Headers],[Vertex]:[Vertex Group]],0),FALSE)</f>
        <v>4</v>
      </c>
    </row>
    <row r="10" spans="1:3" ht="15">
      <c r="A10" s="86" t="s">
        <v>399</v>
      </c>
      <c r="B10" s="94" t="s">
        <v>214</v>
      </c>
      <c r="C10" s="86">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36"/>
      <c r="B3" s="36"/>
      <c r="D3" s="34">
        <f aca="true" t="shared" si="1" ref="D3:D26">D2+($D$50-$D$2)/BinDivisor</f>
        <v>0</v>
      </c>
      <c r="E3" s="3">
        <f>COUNTIF(Vertices[Degree],"&gt;= "&amp;D3)-COUNTIF(Vertices[Degree],"&gt;="&amp;D4)</f>
        <v>0</v>
      </c>
      <c r="F3" s="41">
        <f aca="true" t="shared" si="2" ref="F3:F26">F2+($F$50-$F$2)/BinDivisor</f>
        <v>0</v>
      </c>
      <c r="G3" s="42">
        <f>COUNTIF(Vertices[In-Degree],"&gt;= "&amp;F3)-COUNTIF(Vertices[In-Degree],"&gt;="&amp;F4)</f>
        <v>0</v>
      </c>
      <c r="H3" s="41">
        <f aca="true" t="shared" si="3" ref="H3:H26">H2+($H$50-$H$2)/BinDivisor</f>
        <v>0</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v>
      </c>
      <c r="M3" s="42">
        <f>COUNTIF(Vertices[Closeness Centrality],"&gt;= "&amp;L3)-COUNTIF(Vertices[Closeness Centrality],"&gt;="&amp;L4)</f>
        <v>0</v>
      </c>
      <c r="N3" s="41">
        <f aca="true" t="shared" si="6" ref="N3:N26">N2+($N$50-$N$2)/BinDivisor</f>
        <v>0</v>
      </c>
      <c r="O3" s="42">
        <f>COUNTIF(Vertices[Eigenvector Centrality],"&gt;= "&amp;N3)-COUNTIF(Vertices[Eigenvector Centrality],"&gt;="&amp;N4)</f>
        <v>0</v>
      </c>
      <c r="P3" s="41">
        <f aca="true" t="shared" si="7" ref="P3:P26">P2+($P$50-$P$2)/BinDivisor</f>
        <v>0</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v>
      </c>
      <c r="O26" s="40">
        <f>COUNTIF(Vertices[Eigenvector Centrality],"&gt;= "&amp;N26)-COUNTIF(Vertices[Eigenvector Centrality],"&gt;="&amp;N28)</f>
        <v>0</v>
      </c>
      <c r="P26" s="39">
        <f t="shared" si="7"/>
        <v>0</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81"/>
      <c r="B27" s="81"/>
      <c r="D27" s="34"/>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6"/>
      <c r="B28" s="36"/>
      <c r="D28" s="34">
        <f>D26+($D$50-$D$2)/BinDivisor</f>
        <v>0</v>
      </c>
      <c r="E28" s="3">
        <f>COUNTIF(Vertices[Degree],"&gt;= "&amp;D28)-COUNTIF(Vertices[Degree],"&gt;="&amp;D42)</f>
        <v>0</v>
      </c>
      <c r="F28" s="41">
        <f>F26+($F$50-$F$2)/BinDivisor</f>
        <v>0</v>
      </c>
      <c r="G28" s="42">
        <f>COUNTIF(Vertices[In-Degree],"&gt;= "&amp;F28)-COUNTIF(Vertices[In-Degree],"&gt;="&amp;F42)</f>
        <v>0</v>
      </c>
      <c r="H28" s="41">
        <f>H26+($H$50-$H$2)/BinDivisor</f>
        <v>0</v>
      </c>
      <c r="I28" s="42">
        <f>COUNTIF(Vertices[Out-Degree],"&gt;= "&amp;H28)-COUNTIF(Vertices[Out-Degree],"&gt;="&amp;H42)</f>
        <v>0</v>
      </c>
      <c r="J28" s="41">
        <f>J26+($J$50-$J$2)/BinDivisor</f>
        <v>0</v>
      </c>
      <c r="K28" s="42">
        <f>COUNTIF(Vertices[Betweenness Centrality],"&gt;= "&amp;J28)-COUNTIF(Vertices[Betweenness Centrality],"&gt;="&amp;J42)</f>
        <v>0</v>
      </c>
      <c r="L28" s="41">
        <f>L26+($L$50-$L$2)/BinDivisor</f>
        <v>0</v>
      </c>
      <c r="M28" s="42">
        <f>COUNTIF(Vertices[Closeness Centrality],"&gt;= "&amp;L28)-COUNTIF(Vertices[Closeness Centrality],"&gt;="&amp;L42)</f>
        <v>0</v>
      </c>
      <c r="N28" s="41">
        <f>N26+($N$50-$N$2)/BinDivisor</f>
        <v>0</v>
      </c>
      <c r="O28" s="42">
        <f>COUNTIF(Vertices[Eigenvector Centrality],"&gt;= "&amp;N28)-COUNTIF(Vertices[Eigenvector Centrality],"&gt;="&amp;N42)</f>
        <v>0</v>
      </c>
      <c r="P28" s="41">
        <f>P26+($P$50-$P$2)/BinDivisor</f>
        <v>0</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c r="B29" s="3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c r="B30" s="36"/>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c r="B31" s="36"/>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c r="B32" s="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c r="B34" s="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c r="B35" s="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c r="B36" s="36"/>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4"/>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4"/>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4"/>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4"/>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6"/>
      <c r="B42" s="36"/>
      <c r="D42" s="34">
        <f>D28+($D$50-$D$2)/BinDivisor</f>
        <v>0</v>
      </c>
      <c r="E42" s="3">
        <f>COUNTIF(Vertices[Degree],"&gt;= "&amp;D42)-COUNTIF(Vertices[Degree],"&gt;="&amp;D43)</f>
        <v>0</v>
      </c>
      <c r="F42" s="39">
        <f>F28+($F$50-$F$2)/BinDivisor</f>
        <v>0</v>
      </c>
      <c r="G42" s="40">
        <f>COUNTIF(Vertices[In-Degree],"&gt;= "&amp;F42)-COUNTIF(Vertices[In-Degree],"&gt;="&amp;F43)</f>
        <v>0</v>
      </c>
      <c r="H42" s="39">
        <f>H28+($H$50-$H$2)/BinDivisor</f>
        <v>0</v>
      </c>
      <c r="I42" s="40">
        <f>COUNTIF(Vertices[Out-Degree],"&gt;= "&amp;H42)-COUNTIF(Vertices[Out-Degree],"&gt;="&amp;H43)</f>
        <v>0</v>
      </c>
      <c r="J42" s="39">
        <f>J28+($J$50-$J$2)/BinDivisor</f>
        <v>0</v>
      </c>
      <c r="K42" s="40">
        <f>COUNTIF(Vertices[Betweenness Centrality],"&gt;= "&amp;J42)-COUNTIF(Vertices[Betweenness Centrality],"&gt;="&amp;J43)</f>
        <v>0</v>
      </c>
      <c r="L42" s="39">
        <f>L28+($L$50-$L$2)/BinDivisor</f>
        <v>0</v>
      </c>
      <c r="M42" s="40">
        <f>COUNTIF(Vertices[Closeness Centrality],"&gt;= "&amp;L42)-COUNTIF(Vertices[Closeness Centrality],"&gt;="&amp;L43)</f>
        <v>0</v>
      </c>
      <c r="N42" s="39">
        <f>N28+($N$50-$N$2)/BinDivisor</f>
        <v>0</v>
      </c>
      <c r="O42" s="40">
        <f>COUNTIF(Vertices[Eigenvector Centrality],"&gt;= "&amp;N42)-COUNTIF(Vertices[Eigenvector Centrality],"&gt;="&amp;N43)</f>
        <v>0</v>
      </c>
      <c r="P42" s="39">
        <f>P28+($P$50-$P$2)/BinDivisor</f>
        <v>0</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c r="B43" s="36"/>
      <c r="D43" s="34">
        <f aca="true" t="shared" si="10" ref="D43:D49">D42+($D$50-$D$2)/BinDivisor</f>
        <v>0</v>
      </c>
      <c r="E43" s="3">
        <f>COUNTIF(Vertices[Degree],"&gt;= "&amp;D43)-COUNTIF(Vertices[Degree],"&gt;="&amp;D44)</f>
        <v>0</v>
      </c>
      <c r="F43" s="41">
        <f aca="true" t="shared" si="11" ref="F43:F49">F42+($F$50-$F$2)/BinDivisor</f>
        <v>0</v>
      </c>
      <c r="G43" s="42">
        <f>COUNTIF(Vertices[In-Degree],"&gt;= "&amp;F43)-COUNTIF(Vertices[In-Degree],"&gt;="&amp;F44)</f>
        <v>0</v>
      </c>
      <c r="H43" s="41">
        <f aca="true" t="shared" si="12" ref="H43:H49">H42+($H$50-$H$2)/BinDivisor</f>
        <v>0</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v>
      </c>
      <c r="M43" s="42">
        <f>COUNTIF(Vertices[Closeness Centrality],"&gt;= "&amp;L43)-COUNTIF(Vertices[Closeness Centrality],"&gt;="&amp;L44)</f>
        <v>0</v>
      </c>
      <c r="N43" s="41">
        <f aca="true" t="shared" si="15" ref="N43:N49">N42+($N$50-$N$2)/BinDivisor</f>
        <v>0</v>
      </c>
      <c r="O43" s="42">
        <f>COUNTIF(Vertices[Eigenvector Centrality],"&gt;= "&amp;N43)-COUNTIF(Vertices[Eigenvector Centrality],"&gt;="&amp;N44)</f>
        <v>0</v>
      </c>
      <c r="P43" s="41">
        <f aca="true" t="shared" si="16" ref="P43:P49">P42+($P$50-$P$2)/BinDivisor</f>
        <v>0</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c r="B44" s="36"/>
      <c r="D44" s="34">
        <f t="shared" si="10"/>
        <v>0</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v>
      </c>
      <c r="O44" s="40">
        <f>COUNTIF(Vertices[Eigenvector Centrality],"&gt;= "&amp;N44)-COUNTIF(Vertices[Eigenvector Centrality],"&gt;="&amp;N45)</f>
        <v>0</v>
      </c>
      <c r="P44" s="39">
        <f t="shared" si="16"/>
        <v>0</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c r="B45" s="36"/>
      <c r="D45" s="34">
        <f t="shared" si="10"/>
        <v>0</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v>
      </c>
      <c r="O45" s="42">
        <f>COUNTIF(Vertices[Eigenvector Centrality],"&gt;= "&amp;N45)-COUNTIF(Vertices[Eigenvector Centrality],"&gt;="&amp;N46)</f>
        <v>0</v>
      </c>
      <c r="P45" s="41">
        <f t="shared" si="16"/>
        <v>0</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c r="B46" s="36"/>
      <c r="D46" s="34">
        <f t="shared" si="10"/>
        <v>0</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v>
      </c>
      <c r="O46" s="40">
        <f>COUNTIF(Vertices[Eigenvector Centrality],"&gt;= "&amp;N46)-COUNTIF(Vertices[Eigenvector Centrality],"&gt;="&amp;N47)</f>
        <v>0</v>
      </c>
      <c r="P46" s="39">
        <f t="shared" si="16"/>
        <v>0</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c r="B47" s="36"/>
      <c r="D47" s="34">
        <f t="shared" si="10"/>
        <v>0</v>
      </c>
      <c r="E47" s="3">
        <f>COUNTIF(Vertices[Degree],"&gt;= "&amp;D47)-COUNTIF(Vertices[Degree],"&gt;="&amp;D48)</f>
        <v>0</v>
      </c>
      <c r="F47" s="41">
        <f t="shared" si="11"/>
        <v>0</v>
      </c>
      <c r="G47" s="42">
        <f>COUNTIF(Vertices[In-Degree],"&gt;= "&amp;F47)-COUNTIF(Vertices[In-Degree],"&gt;="&amp;F48)</f>
        <v>0</v>
      </c>
      <c r="H47" s="41">
        <f t="shared" si="12"/>
        <v>0</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v>
      </c>
      <c r="O47" s="42">
        <f>COUNTIF(Vertices[Eigenvector Centrality],"&gt;= "&amp;N47)-COUNTIF(Vertices[Eigenvector Centrality],"&gt;="&amp;N48)</f>
        <v>0</v>
      </c>
      <c r="P47" s="41">
        <f t="shared" si="16"/>
        <v>0</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c r="B48" s="36"/>
      <c r="D48" s="34">
        <f t="shared" si="10"/>
        <v>0</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v>
      </c>
      <c r="O48" s="40">
        <f>COUNTIF(Vertices[Eigenvector Centrality],"&gt;= "&amp;N48)-COUNTIF(Vertices[Eigenvector Centrality],"&gt;="&amp;N49)</f>
        <v>0</v>
      </c>
      <c r="P48" s="39">
        <f t="shared" si="16"/>
        <v>0</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c r="B49" s="36"/>
      <c r="D49" s="34">
        <f t="shared" si="10"/>
        <v>0</v>
      </c>
      <c r="E49" s="3">
        <f>COUNTIF(Vertices[Degree],"&gt;= "&amp;D49)-COUNTIF(Vertices[Degree],"&gt;="&amp;#REF!)</f>
        <v>0</v>
      </c>
      <c r="F49" s="41">
        <f t="shared" si="11"/>
        <v>0</v>
      </c>
      <c r="G49" s="42">
        <f>COUNTIF(Vertices[In-Degree],"&gt;= "&amp;F49)-COUNTIF(Vertices[In-Degree],"&gt;="&amp;#REF!)</f>
        <v>0</v>
      </c>
      <c r="H49" s="41">
        <f t="shared" si="12"/>
        <v>0</v>
      </c>
      <c r="I49" s="42">
        <f>COUNTIF(Vertices[Out-Degree],"&gt;= "&amp;H49)-COUNTIF(Vertices[Out-Degree],"&gt;="&amp;#REF!)</f>
        <v>0</v>
      </c>
      <c r="J49" s="41">
        <f t="shared" si="13"/>
        <v>0</v>
      </c>
      <c r="K49" s="42">
        <f>COUNTIF(Vertices[Betweenness Centrality],"&gt;= "&amp;J49)-COUNTIF(Vertices[Betweenness Centrality],"&gt;="&amp;#REF!)</f>
        <v>0</v>
      </c>
      <c r="L49" s="41">
        <f t="shared" si="14"/>
        <v>0</v>
      </c>
      <c r="M49" s="42">
        <f>COUNTIF(Vertices[Closeness Centrality],"&gt;= "&amp;L49)-COUNTIF(Vertices[Closeness Centrality],"&gt;="&amp;#REF!)</f>
        <v>0</v>
      </c>
      <c r="N49" s="41">
        <f t="shared" si="15"/>
        <v>0</v>
      </c>
      <c r="O49" s="42">
        <f>COUNTIF(Vertices[Eigenvector Centrality],"&gt;= "&amp;N49)-COUNTIF(Vertices[Eigenvector Centrality],"&gt;="&amp;#REF!)</f>
        <v>0</v>
      </c>
      <c r="P49" s="41">
        <f t="shared" si="16"/>
        <v>0</v>
      </c>
      <c r="Q49" s="42">
        <f>COUNTIF(Vertices[PageRank],"&gt;= "&amp;P49)-COUNTIF(Vertices[PageRank],"&gt;="&amp;#REF!)</f>
        <v>0</v>
      </c>
      <c r="R49" s="41">
        <f t="shared" si="17"/>
        <v>0</v>
      </c>
      <c r="S49" s="46">
        <f>COUNTIF(Vertices[Clustering Coefficient],"&gt;= "&amp;R49)-COUNTIF(Vertices[Clustering Coefficient],"&gt;="&amp;#REF!)</f>
        <v>0</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0</v>
      </c>
      <c r="G50" s="44">
        <f>COUNTIF(Vertices[In-Degree],"&gt;= "&amp;F50)-COUNTIF(Vertices[In-Degree],"&gt;="&amp;#REF!)</f>
        <v>0</v>
      </c>
      <c r="H50" s="43">
        <f>MAX(Vertices[Out-Degree])</f>
        <v>0</v>
      </c>
      <c r="I50" s="44">
        <f>COUNTIF(Vertices[Out-Degree],"&gt;= "&amp;H50)-COUNTIF(Vertices[Out-Degree],"&gt;="&amp;#REF!)</f>
        <v>0</v>
      </c>
      <c r="J50" s="43">
        <f>MAX(Vertices[Betweenness Centrality])</f>
        <v>0</v>
      </c>
      <c r="K50" s="44">
        <f>COUNTIF(Vertices[Betweenness Centrality],"&gt;= "&amp;J50)-COUNTIF(Vertices[Betweenness Centrality],"&gt;="&amp;#REF!)</f>
        <v>0</v>
      </c>
      <c r="L50" s="43">
        <f>MAX(Vertices[Closeness Centrality])</f>
        <v>0</v>
      </c>
      <c r="M50" s="44">
        <f>COUNTIF(Vertices[Closeness Centrality],"&gt;= "&amp;L50)-COUNTIF(Vertices[Closeness Centrality],"&gt;="&amp;#REF!)</f>
        <v>0</v>
      </c>
      <c r="N50" s="43">
        <f>MAX(Vertices[Eigenvector Centrality])</f>
        <v>0</v>
      </c>
      <c r="O50" s="44">
        <f>COUNTIF(Vertices[Eigenvector Centrality],"&gt;= "&amp;N50)-COUNTIF(Vertices[Eigenvector Centrality],"&gt;="&amp;#REF!)</f>
        <v>0</v>
      </c>
      <c r="P50" s="43">
        <f>MAX(Vertices[PageRank])</f>
        <v>0</v>
      </c>
      <c r="Q50" s="44">
        <f>COUNTIF(Vertices[PageRank],"&gt;= "&amp;P50)-COUNTIF(Vertices[PageRank],"&gt;="&amp;#REF!)</f>
        <v>0</v>
      </c>
      <c r="R50" s="43">
        <f>MAX(Vertices[Clustering Coefficient])</f>
        <v>0</v>
      </c>
      <c r="S50" s="47">
        <f>COUNTIF(Vertices[Clustering Coefficient],"&gt;= "&amp;R50)-COUNTIF(Vertices[Clustering Coefficient],"&gt;="&amp;#REF!)</f>
        <v>0</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t="str">
        <f>IF(COUNT(Vertices[In-Degree])&gt;0,F2,NoMetricMessage)</f>
        <v>Not Available</v>
      </c>
    </row>
    <row r="81" spans="1:2" ht="15">
      <c r="A81" s="35" t="s">
        <v>89</v>
      </c>
      <c r="B81" s="48" t="str">
        <f>IF(COUNT(Vertices[In-Degree])&gt;0,F50,NoMetricMessage)</f>
        <v>Not Available</v>
      </c>
    </row>
    <row r="82" spans="1:2" ht="15">
      <c r="A82" s="35" t="s">
        <v>90</v>
      </c>
      <c r="B82" s="49" t="str">
        <f>_xlfn.IFERROR(AVERAGE(Vertices[In-Degree]),NoMetricMessage)</f>
        <v>Not Available</v>
      </c>
    </row>
    <row r="83" spans="1:2" ht="15">
      <c r="A83" s="35" t="s">
        <v>91</v>
      </c>
      <c r="B83" s="49" t="str">
        <f>_xlfn.IFERROR(MEDIAN(Vertices[In-Degree]),NoMetricMessage)</f>
        <v>Not Available</v>
      </c>
    </row>
    <row r="94" spans="1:2" ht="15">
      <c r="A94" s="35" t="s">
        <v>94</v>
      </c>
      <c r="B94" s="48" t="str">
        <f>IF(COUNT(Vertices[Out-Degree])&gt;0,H2,NoMetricMessage)</f>
        <v>Not Available</v>
      </c>
    </row>
    <row r="95" spans="1:2" ht="15">
      <c r="A95" s="35" t="s">
        <v>95</v>
      </c>
      <c r="B95" s="48" t="str">
        <f>IF(COUNT(Vertices[Out-Degree])&gt;0,H50,NoMetricMessage)</f>
        <v>Not Available</v>
      </c>
    </row>
    <row r="96" spans="1:2" ht="15">
      <c r="A96" s="35" t="s">
        <v>96</v>
      </c>
      <c r="B96" s="49" t="str">
        <f>_xlfn.IFERROR(AVERAGE(Vertices[Out-Degree]),NoMetricMessage)</f>
        <v>Not Available</v>
      </c>
    </row>
    <row r="97" spans="1:2" ht="15">
      <c r="A97" s="35" t="s">
        <v>97</v>
      </c>
      <c r="B97" s="49" t="str">
        <f>_xlfn.IFERROR(MEDIAN(Vertices[Out-Degree]),NoMetricMessage)</f>
        <v>Not Available</v>
      </c>
    </row>
    <row r="108" spans="1:2" ht="15">
      <c r="A108" s="35" t="s">
        <v>100</v>
      </c>
      <c r="B108" s="49" t="str">
        <f>IF(COUNT(Vertices[Betweenness Centrality])&gt;0,J2,NoMetricMessage)</f>
        <v>Not Available</v>
      </c>
    </row>
    <row r="109" spans="1:2" ht="15">
      <c r="A109" s="35" t="s">
        <v>101</v>
      </c>
      <c r="B109" s="49" t="str">
        <f>IF(COUNT(Vertices[Betweenness Centrality])&gt;0,J50,NoMetricMessage)</f>
        <v>Not Available</v>
      </c>
    </row>
    <row r="110" spans="1:2" ht="15">
      <c r="A110" s="35" t="s">
        <v>102</v>
      </c>
      <c r="B110" s="49" t="str">
        <f>_xlfn.IFERROR(AVERAGE(Vertices[Betweenness Centrality]),NoMetricMessage)</f>
        <v>Not Available</v>
      </c>
    </row>
    <row r="111" spans="1:2" ht="15">
      <c r="A111" s="35" t="s">
        <v>103</v>
      </c>
      <c r="B111" s="49" t="str">
        <f>_xlfn.IFERROR(MEDIAN(Vertices[Betweenness Centrality]),NoMetricMessage)</f>
        <v>Not Available</v>
      </c>
    </row>
    <row r="122" spans="1:2" ht="15">
      <c r="A122" s="35" t="s">
        <v>106</v>
      </c>
      <c r="B122" s="49" t="str">
        <f>IF(COUNT(Vertices[Closeness Centrality])&gt;0,L2,NoMetricMessage)</f>
        <v>Not Available</v>
      </c>
    </row>
    <row r="123" spans="1:2" ht="15">
      <c r="A123" s="35" t="s">
        <v>107</v>
      </c>
      <c r="B123" s="49" t="str">
        <f>IF(COUNT(Vertices[Closeness Centrality])&gt;0,L50,NoMetricMessage)</f>
        <v>Not Available</v>
      </c>
    </row>
    <row r="124" spans="1:2" ht="15">
      <c r="A124" s="35" t="s">
        <v>108</v>
      </c>
      <c r="B124" s="49" t="str">
        <f>_xlfn.IFERROR(AVERAGE(Vertices[Closeness Centrality]),NoMetricMessage)</f>
        <v>Not Available</v>
      </c>
    </row>
    <row r="125" spans="1:2" ht="15">
      <c r="A125" s="35" t="s">
        <v>109</v>
      </c>
      <c r="B125" s="49" t="str">
        <f>_xlfn.IFERROR(MEDIAN(Vertices[Closeness Centrality]),NoMetricMessage)</f>
        <v>Not Available</v>
      </c>
    </row>
    <row r="136" spans="1:2" ht="15">
      <c r="A136" s="35" t="s">
        <v>112</v>
      </c>
      <c r="B136" s="49" t="str">
        <f>IF(COUNT(Vertices[Eigenvector Centrality])&gt;0,N2,NoMetricMessage)</f>
        <v>Not Available</v>
      </c>
    </row>
    <row r="137" spans="1:2" ht="15">
      <c r="A137" s="35" t="s">
        <v>113</v>
      </c>
      <c r="B137" s="49" t="str">
        <f>IF(COUNT(Vertices[Eigenvector Centrality])&gt;0,N50,NoMetricMessage)</f>
        <v>Not Available</v>
      </c>
    </row>
    <row r="138" spans="1:2" ht="15">
      <c r="A138" s="35" t="s">
        <v>114</v>
      </c>
      <c r="B138" s="49" t="str">
        <f>_xlfn.IFERROR(AVERAGE(Vertices[Eigenvector Centrality]),NoMetricMessage)</f>
        <v>Not Available</v>
      </c>
    </row>
    <row r="139" spans="1:2" ht="15">
      <c r="A139" s="35" t="s">
        <v>115</v>
      </c>
      <c r="B139" s="49" t="str">
        <f>_xlfn.IFERROR(MEDIAN(Vertices[Eigenvector Centrality]),NoMetricMessage)</f>
        <v>Not Available</v>
      </c>
    </row>
    <row r="150" spans="1:2" ht="15">
      <c r="A150" s="35" t="s">
        <v>140</v>
      </c>
      <c r="B150" s="49" t="str">
        <f>IF(COUNT(Vertices[PageRank])&gt;0,P2,NoMetricMessage)</f>
        <v>Not Available</v>
      </c>
    </row>
    <row r="151" spans="1:2" ht="15">
      <c r="A151" s="35" t="s">
        <v>141</v>
      </c>
      <c r="B151" s="49" t="str">
        <f>IF(COUNT(Vertices[PageRank])&gt;0,P50,NoMetricMessage)</f>
        <v>Not Available</v>
      </c>
    </row>
    <row r="152" spans="1:2" ht="15">
      <c r="A152" s="35" t="s">
        <v>142</v>
      </c>
      <c r="B152" s="49" t="str">
        <f>_xlfn.IFERROR(AVERAGE(Vertices[PageRank]),NoMetricMessage)</f>
        <v>Not Available</v>
      </c>
    </row>
    <row r="153" spans="1:2" ht="15">
      <c r="A153" s="35" t="s">
        <v>143</v>
      </c>
      <c r="B153" s="49" t="str">
        <f>_xlfn.IFERROR(MEDIAN(Vertices[PageRank]),NoMetricMessage)</f>
        <v>Not Available</v>
      </c>
    </row>
    <row r="164" spans="1:2" ht="15">
      <c r="A164" s="35" t="s">
        <v>118</v>
      </c>
      <c r="B164" s="49" t="str">
        <f>IF(COUNT(Vertices[Clustering Coefficient])&gt;0,R2,NoMetricMessage)</f>
        <v>Not Available</v>
      </c>
    </row>
    <row r="165" spans="1:2" ht="15">
      <c r="A165" s="35" t="s">
        <v>119</v>
      </c>
      <c r="B165" s="49" t="str">
        <f>IF(COUNT(Vertices[Clustering Coefficient])&gt;0,R50,NoMetricMessage)</f>
        <v>Not Available</v>
      </c>
    </row>
    <row r="166" spans="1:2" ht="15">
      <c r="A166" s="35" t="s">
        <v>120</v>
      </c>
      <c r="B166" s="49" t="str">
        <f>_xlfn.IFERROR(AVERAGE(Vertices[Clustering Coefficient]),NoMetricMessage)</f>
        <v>Not Available</v>
      </c>
    </row>
    <row r="167" spans="1:2" ht="15">
      <c r="A167" s="35" t="s">
        <v>121</v>
      </c>
      <c r="B167"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5"/>
      <c r="J1" s="65"/>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396</v>
      </c>
      <c r="BD2" s="13" t="s">
        <v>404</v>
      </c>
      <c r="BE2" s="13" t="s">
        <v>405</v>
      </c>
    </row>
    <row r="3" spans="1:57" ht="15" customHeight="1">
      <c r="A3" s="85" t="s">
        <v>214</v>
      </c>
      <c r="B3" s="85" t="s">
        <v>215</v>
      </c>
      <c r="C3" s="54"/>
      <c r="D3" s="55"/>
      <c r="E3" s="66"/>
      <c r="F3" s="56"/>
      <c r="G3" s="54"/>
      <c r="H3" s="58"/>
      <c r="I3" s="57"/>
      <c r="J3" s="57"/>
      <c r="K3" s="36" t="s">
        <v>66</v>
      </c>
      <c r="L3" s="63">
        <v>3</v>
      </c>
      <c r="M3" s="63"/>
      <c r="N3" s="64"/>
      <c r="O3" s="86" t="s">
        <v>223</v>
      </c>
      <c r="P3" s="88">
        <v>43793.763344907406</v>
      </c>
      <c r="Q3" s="86" t="s">
        <v>226</v>
      </c>
      <c r="R3" s="86"/>
      <c r="S3" s="86"/>
      <c r="T3" s="86" t="s">
        <v>234</v>
      </c>
      <c r="U3" s="90" t="s">
        <v>239</v>
      </c>
      <c r="V3" s="90" t="s">
        <v>239</v>
      </c>
      <c r="W3" s="88">
        <v>43793.763344907406</v>
      </c>
      <c r="X3" s="92">
        <v>43793</v>
      </c>
      <c r="Y3" s="94" t="s">
        <v>246</v>
      </c>
      <c r="Z3" s="90" t="s">
        <v>254</v>
      </c>
      <c r="AA3" s="86"/>
      <c r="AB3" s="86"/>
      <c r="AC3" s="94" t="s">
        <v>262</v>
      </c>
      <c r="AD3" s="94" t="s">
        <v>263</v>
      </c>
      <c r="AE3" s="86" t="b">
        <v>0</v>
      </c>
      <c r="AF3" s="86">
        <v>36</v>
      </c>
      <c r="AG3" s="94" t="s">
        <v>272</v>
      </c>
      <c r="AH3" s="86" t="b">
        <v>0</v>
      </c>
      <c r="AI3" s="86" t="s">
        <v>275</v>
      </c>
      <c r="AJ3" s="86"/>
      <c r="AK3" s="94" t="s">
        <v>273</v>
      </c>
      <c r="AL3" s="86" t="b">
        <v>0</v>
      </c>
      <c r="AM3" s="86">
        <v>84</v>
      </c>
      <c r="AN3" s="94" t="s">
        <v>273</v>
      </c>
      <c r="AO3" s="86" t="s">
        <v>276</v>
      </c>
      <c r="AP3" s="86" t="b">
        <v>0</v>
      </c>
      <c r="AQ3" s="94" t="s">
        <v>263</v>
      </c>
      <c r="AR3" s="86" t="s">
        <v>278</v>
      </c>
      <c r="AS3" s="86">
        <v>0</v>
      </c>
      <c r="AT3" s="86">
        <v>0</v>
      </c>
      <c r="AU3" s="86"/>
      <c r="AV3" s="86"/>
      <c r="AW3" s="86"/>
      <c r="AX3" s="86"/>
      <c r="AY3" s="86"/>
      <c r="AZ3" s="86"/>
      <c r="BA3" s="86"/>
      <c r="BB3" s="86"/>
      <c r="BC3">
        <v>2</v>
      </c>
      <c r="BD3" s="86" t="str">
        <f>REPLACE(INDEX(GroupVertices[Group],MATCH(Edges11[[#This Row],[Vertex 1]],GroupVertices[Vertex],0)),1,1,"")</f>
        <v>3</v>
      </c>
      <c r="BE3" s="86" t="str">
        <f>REPLACE(INDEX(GroupVertices[Group],MATCH(Edges11[[#This Row],[Vertex 2]],GroupVertices[Vertex],0)),1,1,"")</f>
        <v>3</v>
      </c>
    </row>
    <row r="4" spans="1:57" ht="15" customHeight="1">
      <c r="A4" s="85" t="s">
        <v>214</v>
      </c>
      <c r="B4" s="85" t="s">
        <v>215</v>
      </c>
      <c r="C4" s="54"/>
      <c r="D4" s="55"/>
      <c r="E4" s="66"/>
      <c r="F4" s="56"/>
      <c r="G4" s="54"/>
      <c r="H4" s="58"/>
      <c r="I4" s="57"/>
      <c r="J4" s="57"/>
      <c r="K4" s="36" t="s">
        <v>66</v>
      </c>
      <c r="L4" s="84">
        <v>4</v>
      </c>
      <c r="M4" s="84"/>
      <c r="N4" s="64"/>
      <c r="O4" s="87" t="s">
        <v>223</v>
      </c>
      <c r="P4" s="89">
        <v>43793.72386574074</v>
      </c>
      <c r="Q4" s="87" t="s">
        <v>227</v>
      </c>
      <c r="R4" s="87"/>
      <c r="S4" s="87"/>
      <c r="T4" s="87" t="s">
        <v>234</v>
      </c>
      <c r="U4" s="91" t="s">
        <v>240</v>
      </c>
      <c r="V4" s="91" t="s">
        <v>240</v>
      </c>
      <c r="W4" s="89">
        <v>43793.72386574074</v>
      </c>
      <c r="X4" s="93">
        <v>43793</v>
      </c>
      <c r="Y4" s="95" t="s">
        <v>247</v>
      </c>
      <c r="Z4" s="91" t="s">
        <v>255</v>
      </c>
      <c r="AA4" s="87"/>
      <c r="AB4" s="87"/>
      <c r="AC4" s="95" t="s">
        <v>263</v>
      </c>
      <c r="AD4" s="95" t="s">
        <v>270</v>
      </c>
      <c r="AE4" s="87" t="b">
        <v>0</v>
      </c>
      <c r="AF4" s="87">
        <v>31</v>
      </c>
      <c r="AG4" s="95" t="s">
        <v>272</v>
      </c>
      <c r="AH4" s="87" t="b">
        <v>0</v>
      </c>
      <c r="AI4" s="87" t="s">
        <v>275</v>
      </c>
      <c r="AJ4" s="87"/>
      <c r="AK4" s="95" t="s">
        <v>273</v>
      </c>
      <c r="AL4" s="87" t="b">
        <v>0</v>
      </c>
      <c r="AM4" s="87">
        <v>70</v>
      </c>
      <c r="AN4" s="95" t="s">
        <v>273</v>
      </c>
      <c r="AO4" s="87" t="s">
        <v>276</v>
      </c>
      <c r="AP4" s="87" t="b">
        <v>0</v>
      </c>
      <c r="AQ4" s="95" t="s">
        <v>270</v>
      </c>
      <c r="AR4" s="87" t="s">
        <v>278</v>
      </c>
      <c r="AS4" s="87">
        <v>0</v>
      </c>
      <c r="AT4" s="87">
        <v>0</v>
      </c>
      <c r="AU4" s="87"/>
      <c r="AV4" s="87"/>
      <c r="AW4" s="87"/>
      <c r="AX4" s="87"/>
      <c r="AY4" s="87"/>
      <c r="AZ4" s="87"/>
      <c r="BA4" s="87"/>
      <c r="BB4" s="87"/>
      <c r="BC4">
        <v>2</v>
      </c>
      <c r="BD4" s="86" t="str">
        <f>REPLACE(INDEX(GroupVertices[Group],MATCH(Edges11[[#This Row],[Vertex 1]],GroupVertices[Vertex],0)),1,1,"")</f>
        <v>3</v>
      </c>
      <c r="BE4" s="86" t="str">
        <f>REPLACE(INDEX(GroupVertices[Group],MATCH(Edges11[[#This Row],[Vertex 2]],GroupVertices[Vertex],0)),1,1,"")</f>
        <v>3</v>
      </c>
    </row>
    <row r="5" spans="1:57" ht="15">
      <c r="A5" s="85" t="s">
        <v>215</v>
      </c>
      <c r="B5" s="85" t="s">
        <v>214</v>
      </c>
      <c r="C5" s="54"/>
      <c r="D5" s="55"/>
      <c r="E5" s="66"/>
      <c r="F5" s="56"/>
      <c r="G5" s="54"/>
      <c r="H5" s="58"/>
      <c r="I5" s="57"/>
      <c r="J5" s="57"/>
      <c r="K5" s="36" t="s">
        <v>66</v>
      </c>
      <c r="L5" s="84">
        <v>5</v>
      </c>
      <c r="M5" s="84"/>
      <c r="N5" s="64"/>
      <c r="O5" s="87" t="s">
        <v>224</v>
      </c>
      <c r="P5" s="89">
        <v>43890.702523148146</v>
      </c>
      <c r="Q5" s="87" t="s">
        <v>228</v>
      </c>
      <c r="R5" s="87"/>
      <c r="S5" s="87"/>
      <c r="T5" s="87"/>
      <c r="U5" s="87"/>
      <c r="V5" s="91" t="s">
        <v>242</v>
      </c>
      <c r="W5" s="89">
        <v>43890.702523148146</v>
      </c>
      <c r="X5" s="93">
        <v>43890</v>
      </c>
      <c r="Y5" s="95" t="s">
        <v>248</v>
      </c>
      <c r="Z5" s="91" t="s">
        <v>256</v>
      </c>
      <c r="AA5" s="87"/>
      <c r="AB5" s="87"/>
      <c r="AC5" s="95" t="s">
        <v>264</v>
      </c>
      <c r="AD5" s="87"/>
      <c r="AE5" s="87" t="b">
        <v>0</v>
      </c>
      <c r="AF5" s="87">
        <v>0</v>
      </c>
      <c r="AG5" s="95" t="s">
        <v>273</v>
      </c>
      <c r="AH5" s="87" t="b">
        <v>0</v>
      </c>
      <c r="AI5" s="87" t="s">
        <v>275</v>
      </c>
      <c r="AJ5" s="87"/>
      <c r="AK5" s="95" t="s">
        <v>273</v>
      </c>
      <c r="AL5" s="87" t="b">
        <v>0</v>
      </c>
      <c r="AM5" s="87">
        <v>84</v>
      </c>
      <c r="AN5" s="95" t="s">
        <v>262</v>
      </c>
      <c r="AO5" s="87" t="s">
        <v>276</v>
      </c>
      <c r="AP5" s="87" t="b">
        <v>0</v>
      </c>
      <c r="AQ5" s="95" t="s">
        <v>262</v>
      </c>
      <c r="AR5" s="87" t="s">
        <v>176</v>
      </c>
      <c r="AS5" s="87">
        <v>0</v>
      </c>
      <c r="AT5" s="87">
        <v>0</v>
      </c>
      <c r="AU5" s="87"/>
      <c r="AV5" s="87"/>
      <c r="AW5" s="87"/>
      <c r="AX5" s="87"/>
      <c r="AY5" s="87"/>
      <c r="AZ5" s="87"/>
      <c r="BA5" s="87"/>
      <c r="BB5" s="87"/>
      <c r="BC5">
        <v>2</v>
      </c>
      <c r="BD5" s="86" t="str">
        <f>REPLACE(INDEX(GroupVertices[Group],MATCH(Edges11[[#This Row],[Vertex 1]],GroupVertices[Vertex],0)),1,1,"")</f>
        <v>3</v>
      </c>
      <c r="BE5" s="86" t="str">
        <f>REPLACE(INDEX(GroupVertices[Group],MATCH(Edges11[[#This Row],[Vertex 2]],GroupVertices[Vertex],0)),1,1,"")</f>
        <v>3</v>
      </c>
    </row>
    <row r="6" spans="1:57" ht="15">
      <c r="A6" s="85" t="s">
        <v>215</v>
      </c>
      <c r="B6" s="85" t="s">
        <v>214</v>
      </c>
      <c r="C6" s="54"/>
      <c r="D6" s="55"/>
      <c r="E6" s="66"/>
      <c r="F6" s="56"/>
      <c r="G6" s="54"/>
      <c r="H6" s="58"/>
      <c r="I6" s="57"/>
      <c r="J6" s="57"/>
      <c r="K6" s="36" t="s">
        <v>66</v>
      </c>
      <c r="L6" s="84">
        <v>6</v>
      </c>
      <c r="M6" s="84"/>
      <c r="N6" s="64"/>
      <c r="O6" s="87" t="s">
        <v>224</v>
      </c>
      <c r="P6" s="89">
        <v>43890.7025462963</v>
      </c>
      <c r="Q6" s="87" t="s">
        <v>229</v>
      </c>
      <c r="R6" s="87"/>
      <c r="S6" s="87"/>
      <c r="T6" s="87"/>
      <c r="U6" s="87"/>
      <c r="V6" s="91" t="s">
        <v>242</v>
      </c>
      <c r="W6" s="89">
        <v>43890.7025462963</v>
      </c>
      <c r="X6" s="93">
        <v>43890</v>
      </c>
      <c r="Y6" s="95" t="s">
        <v>249</v>
      </c>
      <c r="Z6" s="91" t="s">
        <v>257</v>
      </c>
      <c r="AA6" s="87"/>
      <c r="AB6" s="87"/>
      <c r="AC6" s="95" t="s">
        <v>265</v>
      </c>
      <c r="AD6" s="87"/>
      <c r="AE6" s="87" t="b">
        <v>0</v>
      </c>
      <c r="AF6" s="87">
        <v>0</v>
      </c>
      <c r="AG6" s="95" t="s">
        <v>273</v>
      </c>
      <c r="AH6" s="87" t="b">
        <v>0</v>
      </c>
      <c r="AI6" s="87" t="s">
        <v>275</v>
      </c>
      <c r="AJ6" s="87"/>
      <c r="AK6" s="95" t="s">
        <v>273</v>
      </c>
      <c r="AL6" s="87" t="b">
        <v>0</v>
      </c>
      <c r="AM6" s="87">
        <v>70</v>
      </c>
      <c r="AN6" s="95" t="s">
        <v>263</v>
      </c>
      <c r="AO6" s="87" t="s">
        <v>276</v>
      </c>
      <c r="AP6" s="87" t="b">
        <v>0</v>
      </c>
      <c r="AQ6" s="95" t="s">
        <v>263</v>
      </c>
      <c r="AR6" s="87" t="s">
        <v>176</v>
      </c>
      <c r="AS6" s="87">
        <v>0</v>
      </c>
      <c r="AT6" s="87">
        <v>0</v>
      </c>
      <c r="AU6" s="87"/>
      <c r="AV6" s="87"/>
      <c r="AW6" s="87"/>
      <c r="AX6" s="87"/>
      <c r="AY6" s="87"/>
      <c r="AZ6" s="87"/>
      <c r="BA6" s="87"/>
      <c r="BB6" s="87"/>
      <c r="BC6">
        <v>2</v>
      </c>
      <c r="BD6" s="86" t="str">
        <f>REPLACE(INDEX(GroupVertices[Group],MATCH(Edges11[[#This Row],[Vertex 1]],GroupVertices[Vertex],0)),1,1,"")</f>
        <v>3</v>
      </c>
      <c r="BE6" s="86" t="str">
        <f>REPLACE(INDEX(GroupVertices[Group],MATCH(Edges11[[#This Row],[Vertex 2]],GroupVertices[Vertex],0)),1,1,"")</f>
        <v>3</v>
      </c>
    </row>
    <row r="7" spans="1:57" ht="15">
      <c r="A7" s="85" t="s">
        <v>216</v>
      </c>
      <c r="B7" s="85" t="s">
        <v>220</v>
      </c>
      <c r="C7" s="54"/>
      <c r="D7" s="55"/>
      <c r="E7" s="66"/>
      <c r="F7" s="56"/>
      <c r="G7" s="54"/>
      <c r="H7" s="58"/>
      <c r="I7" s="57"/>
      <c r="J7" s="57"/>
      <c r="K7" s="36" t="s">
        <v>65</v>
      </c>
      <c r="L7" s="84">
        <v>7</v>
      </c>
      <c r="M7" s="84"/>
      <c r="N7" s="64"/>
      <c r="O7" s="87" t="s">
        <v>225</v>
      </c>
      <c r="P7" s="89">
        <v>43802.848541666666</v>
      </c>
      <c r="Q7" s="87" t="s">
        <v>230</v>
      </c>
      <c r="R7" s="87"/>
      <c r="S7" s="87"/>
      <c r="T7" s="87" t="s">
        <v>235</v>
      </c>
      <c r="U7" s="91" t="s">
        <v>241</v>
      </c>
      <c r="V7" s="91" t="s">
        <v>241</v>
      </c>
      <c r="W7" s="89">
        <v>43802.848541666666</v>
      </c>
      <c r="X7" s="93">
        <v>43802</v>
      </c>
      <c r="Y7" s="95" t="s">
        <v>250</v>
      </c>
      <c r="Z7" s="91" t="s">
        <v>258</v>
      </c>
      <c r="AA7" s="87"/>
      <c r="AB7" s="87"/>
      <c r="AC7" s="95" t="s">
        <v>266</v>
      </c>
      <c r="AD7" s="87"/>
      <c r="AE7" s="87" t="b">
        <v>0</v>
      </c>
      <c r="AF7" s="87">
        <v>662</v>
      </c>
      <c r="AG7" s="95" t="s">
        <v>273</v>
      </c>
      <c r="AH7" s="87" t="b">
        <v>0</v>
      </c>
      <c r="AI7" s="87" t="s">
        <v>275</v>
      </c>
      <c r="AJ7" s="87"/>
      <c r="AK7" s="95" t="s">
        <v>273</v>
      </c>
      <c r="AL7" s="87" t="b">
        <v>0</v>
      </c>
      <c r="AM7" s="87">
        <v>534</v>
      </c>
      <c r="AN7" s="95" t="s">
        <v>273</v>
      </c>
      <c r="AO7" s="87" t="s">
        <v>277</v>
      </c>
      <c r="AP7" s="87" t="b">
        <v>0</v>
      </c>
      <c r="AQ7" s="95" t="s">
        <v>266</v>
      </c>
      <c r="AR7" s="87" t="s">
        <v>278</v>
      </c>
      <c r="AS7" s="87">
        <v>0</v>
      </c>
      <c r="AT7" s="87">
        <v>0</v>
      </c>
      <c r="AU7" s="87"/>
      <c r="AV7" s="87"/>
      <c r="AW7" s="87"/>
      <c r="AX7" s="87"/>
      <c r="AY7" s="87"/>
      <c r="AZ7" s="87"/>
      <c r="BA7" s="87"/>
      <c r="BB7" s="87"/>
      <c r="BC7">
        <v>1</v>
      </c>
      <c r="BD7" s="86" t="str">
        <f>REPLACE(INDEX(GroupVertices[Group],MATCH(Edges11[[#This Row],[Vertex 1]],GroupVertices[Vertex],0)),1,1,"")</f>
        <v>2</v>
      </c>
      <c r="BE7" s="86" t="str">
        <f>REPLACE(INDEX(GroupVertices[Group],MATCH(Edges11[[#This Row],[Vertex 2]],GroupVertices[Vertex],0)),1,1,"")</f>
        <v>2</v>
      </c>
    </row>
    <row r="8" spans="1:57" ht="15">
      <c r="A8" s="85" t="s">
        <v>217</v>
      </c>
      <c r="B8" s="85" t="s">
        <v>220</v>
      </c>
      <c r="C8" s="54"/>
      <c r="D8" s="55"/>
      <c r="E8" s="66"/>
      <c r="F8" s="56"/>
      <c r="G8" s="54"/>
      <c r="H8" s="58"/>
      <c r="I8" s="57"/>
      <c r="J8" s="57"/>
      <c r="K8" s="36" t="s">
        <v>65</v>
      </c>
      <c r="L8" s="84">
        <v>8</v>
      </c>
      <c r="M8" s="84"/>
      <c r="N8" s="64"/>
      <c r="O8" s="87" t="s">
        <v>224</v>
      </c>
      <c r="P8" s="89">
        <v>43891.65996527778</v>
      </c>
      <c r="Q8" s="87" t="s">
        <v>231</v>
      </c>
      <c r="R8" s="87"/>
      <c r="S8" s="87"/>
      <c r="T8" s="87" t="s">
        <v>236</v>
      </c>
      <c r="U8" s="87"/>
      <c r="V8" s="91" t="s">
        <v>243</v>
      </c>
      <c r="W8" s="89">
        <v>43891.65996527778</v>
      </c>
      <c r="X8" s="93">
        <v>43891</v>
      </c>
      <c r="Y8" s="95" t="s">
        <v>251</v>
      </c>
      <c r="Z8" s="91" t="s">
        <v>259</v>
      </c>
      <c r="AA8" s="87"/>
      <c r="AB8" s="87"/>
      <c r="AC8" s="95" t="s">
        <v>267</v>
      </c>
      <c r="AD8" s="87"/>
      <c r="AE8" s="87" t="b">
        <v>0</v>
      </c>
      <c r="AF8" s="87">
        <v>0</v>
      </c>
      <c r="AG8" s="95" t="s">
        <v>273</v>
      </c>
      <c r="AH8" s="87" t="b">
        <v>0</v>
      </c>
      <c r="AI8" s="87" t="s">
        <v>275</v>
      </c>
      <c r="AJ8" s="87"/>
      <c r="AK8" s="95" t="s">
        <v>273</v>
      </c>
      <c r="AL8" s="87" t="b">
        <v>0</v>
      </c>
      <c r="AM8" s="87">
        <v>534</v>
      </c>
      <c r="AN8" s="95" t="s">
        <v>266</v>
      </c>
      <c r="AO8" s="87" t="s">
        <v>276</v>
      </c>
      <c r="AP8" s="87" t="b">
        <v>0</v>
      </c>
      <c r="AQ8" s="95" t="s">
        <v>266</v>
      </c>
      <c r="AR8" s="87" t="s">
        <v>176</v>
      </c>
      <c r="AS8" s="87">
        <v>0</v>
      </c>
      <c r="AT8" s="87">
        <v>0</v>
      </c>
      <c r="AU8" s="87"/>
      <c r="AV8" s="87"/>
      <c r="AW8" s="87"/>
      <c r="AX8" s="87"/>
      <c r="AY8" s="87"/>
      <c r="AZ8" s="87"/>
      <c r="BA8" s="87"/>
      <c r="BB8" s="87"/>
      <c r="BC8">
        <v>1</v>
      </c>
      <c r="BD8" s="86" t="str">
        <f>REPLACE(INDEX(GroupVertices[Group],MATCH(Edges11[[#This Row],[Vertex 1]],GroupVertices[Vertex],0)),1,1,"")</f>
        <v>2</v>
      </c>
      <c r="BE8" s="86" t="str">
        <f>REPLACE(INDEX(GroupVertices[Group],MATCH(Edges11[[#This Row],[Vertex 2]],GroupVertices[Vertex],0)),1,1,"")</f>
        <v>2</v>
      </c>
    </row>
    <row r="9" spans="1:57" ht="15">
      <c r="A9" s="85" t="s">
        <v>217</v>
      </c>
      <c r="B9" s="85" t="s">
        <v>216</v>
      </c>
      <c r="C9" s="54"/>
      <c r="D9" s="55"/>
      <c r="E9" s="66"/>
      <c r="F9" s="56"/>
      <c r="G9" s="54"/>
      <c r="H9" s="58"/>
      <c r="I9" s="57"/>
      <c r="J9" s="57"/>
      <c r="K9" s="36" t="s">
        <v>65</v>
      </c>
      <c r="L9" s="84">
        <v>9</v>
      </c>
      <c r="M9" s="84"/>
      <c r="N9" s="64"/>
      <c r="O9" s="87" t="s">
        <v>224</v>
      </c>
      <c r="P9" s="89">
        <v>43891.65996527778</v>
      </c>
      <c r="Q9" s="87" t="s">
        <v>231</v>
      </c>
      <c r="R9" s="87"/>
      <c r="S9" s="87"/>
      <c r="T9" s="87" t="s">
        <v>236</v>
      </c>
      <c r="U9" s="87"/>
      <c r="V9" s="91" t="s">
        <v>243</v>
      </c>
      <c r="W9" s="89">
        <v>43891.65996527778</v>
      </c>
      <c r="X9" s="93">
        <v>43891</v>
      </c>
      <c r="Y9" s="95" t="s">
        <v>251</v>
      </c>
      <c r="Z9" s="91" t="s">
        <v>259</v>
      </c>
      <c r="AA9" s="87"/>
      <c r="AB9" s="87"/>
      <c r="AC9" s="95" t="s">
        <v>267</v>
      </c>
      <c r="AD9" s="87"/>
      <c r="AE9" s="87" t="b">
        <v>0</v>
      </c>
      <c r="AF9" s="87">
        <v>0</v>
      </c>
      <c r="AG9" s="95" t="s">
        <v>273</v>
      </c>
      <c r="AH9" s="87" t="b">
        <v>0</v>
      </c>
      <c r="AI9" s="87" t="s">
        <v>275</v>
      </c>
      <c r="AJ9" s="87"/>
      <c r="AK9" s="95" t="s">
        <v>273</v>
      </c>
      <c r="AL9" s="87" t="b">
        <v>0</v>
      </c>
      <c r="AM9" s="87">
        <v>534</v>
      </c>
      <c r="AN9" s="95" t="s">
        <v>266</v>
      </c>
      <c r="AO9" s="87" t="s">
        <v>276</v>
      </c>
      <c r="AP9" s="87" t="b">
        <v>0</v>
      </c>
      <c r="AQ9" s="95" t="s">
        <v>266</v>
      </c>
      <c r="AR9" s="87" t="s">
        <v>176</v>
      </c>
      <c r="AS9" s="87">
        <v>0</v>
      </c>
      <c r="AT9" s="87">
        <v>0</v>
      </c>
      <c r="AU9" s="87"/>
      <c r="AV9" s="87"/>
      <c r="AW9" s="87"/>
      <c r="AX9" s="87"/>
      <c r="AY9" s="87"/>
      <c r="AZ9" s="87"/>
      <c r="BA9" s="87"/>
      <c r="BB9" s="87"/>
      <c r="BC9">
        <v>1</v>
      </c>
      <c r="BD9" s="86" t="str">
        <f>REPLACE(INDEX(GroupVertices[Group],MATCH(Edges11[[#This Row],[Vertex 1]],GroupVertices[Vertex],0)),1,1,"")</f>
        <v>2</v>
      </c>
      <c r="BE9" s="86" t="str">
        <f>REPLACE(INDEX(GroupVertices[Group],MATCH(Edges11[[#This Row],[Vertex 2]],GroupVertices[Vertex],0)),1,1,"")</f>
        <v>2</v>
      </c>
    </row>
    <row r="10" spans="1:57" ht="15">
      <c r="A10" s="85" t="s">
        <v>218</v>
      </c>
      <c r="B10" s="85" t="s">
        <v>221</v>
      </c>
      <c r="C10" s="54"/>
      <c r="D10" s="55"/>
      <c r="E10" s="66"/>
      <c r="F10" s="56"/>
      <c r="G10" s="54"/>
      <c r="H10" s="58"/>
      <c r="I10" s="57"/>
      <c r="J10" s="57"/>
      <c r="K10" s="36" t="s">
        <v>65</v>
      </c>
      <c r="L10" s="84">
        <v>10</v>
      </c>
      <c r="M10" s="84"/>
      <c r="N10" s="64"/>
      <c r="O10" s="87" t="s">
        <v>225</v>
      </c>
      <c r="P10" s="89">
        <v>43793.69782407407</v>
      </c>
      <c r="Q10" s="87" t="s">
        <v>232</v>
      </c>
      <c r="R10" s="87"/>
      <c r="S10" s="87"/>
      <c r="T10" s="87" t="s">
        <v>237</v>
      </c>
      <c r="U10" s="87"/>
      <c r="V10" s="91" t="s">
        <v>244</v>
      </c>
      <c r="W10" s="89">
        <v>43793.69782407407</v>
      </c>
      <c r="X10" s="93">
        <v>43793</v>
      </c>
      <c r="Y10" s="95" t="s">
        <v>252</v>
      </c>
      <c r="Z10" s="91" t="s">
        <v>260</v>
      </c>
      <c r="AA10" s="87"/>
      <c r="AB10" s="87"/>
      <c r="AC10" s="95" t="s">
        <v>268</v>
      </c>
      <c r="AD10" s="95" t="s">
        <v>271</v>
      </c>
      <c r="AE10" s="87" t="b">
        <v>0</v>
      </c>
      <c r="AF10" s="87">
        <v>2</v>
      </c>
      <c r="AG10" s="95" t="s">
        <v>274</v>
      </c>
      <c r="AH10" s="87" t="b">
        <v>0</v>
      </c>
      <c r="AI10" s="87" t="s">
        <v>275</v>
      </c>
      <c r="AJ10" s="87"/>
      <c r="AK10" s="95" t="s">
        <v>273</v>
      </c>
      <c r="AL10" s="87" t="b">
        <v>0</v>
      </c>
      <c r="AM10" s="87">
        <v>2</v>
      </c>
      <c r="AN10" s="95" t="s">
        <v>273</v>
      </c>
      <c r="AO10" s="87" t="s">
        <v>276</v>
      </c>
      <c r="AP10" s="87" t="b">
        <v>0</v>
      </c>
      <c r="AQ10" s="95" t="s">
        <v>271</v>
      </c>
      <c r="AR10" s="87" t="s">
        <v>278</v>
      </c>
      <c r="AS10" s="87">
        <v>0</v>
      </c>
      <c r="AT10" s="87">
        <v>0</v>
      </c>
      <c r="AU10" s="87"/>
      <c r="AV10" s="87"/>
      <c r="AW10" s="87"/>
      <c r="AX10" s="87"/>
      <c r="AY10" s="87"/>
      <c r="AZ10" s="87"/>
      <c r="BA10" s="87"/>
      <c r="BB10" s="87"/>
      <c r="BC10">
        <v>1</v>
      </c>
      <c r="BD10" s="86" t="str">
        <f>REPLACE(INDEX(GroupVertices[Group],MATCH(Edges11[[#This Row],[Vertex 1]],GroupVertices[Vertex],0)),1,1,"")</f>
        <v>1</v>
      </c>
      <c r="BE10" s="86" t="str">
        <f>REPLACE(INDEX(GroupVertices[Group],MATCH(Edges11[[#This Row],[Vertex 2]],GroupVertices[Vertex],0)),1,1,"")</f>
        <v>1</v>
      </c>
    </row>
    <row r="11" spans="1:57" ht="15">
      <c r="A11" s="85" t="s">
        <v>219</v>
      </c>
      <c r="B11" s="85" t="s">
        <v>221</v>
      </c>
      <c r="C11" s="54"/>
      <c r="D11" s="55"/>
      <c r="E11" s="66"/>
      <c r="F11" s="56"/>
      <c r="G11" s="54"/>
      <c r="H11" s="58"/>
      <c r="I11" s="57"/>
      <c r="J11" s="57"/>
      <c r="K11" s="36" t="s">
        <v>65</v>
      </c>
      <c r="L11" s="84">
        <v>11</v>
      </c>
      <c r="M11" s="84"/>
      <c r="N11" s="64"/>
      <c r="O11" s="87" t="s">
        <v>224</v>
      </c>
      <c r="P11" s="89">
        <v>43893.50262731482</v>
      </c>
      <c r="Q11" s="87" t="s">
        <v>233</v>
      </c>
      <c r="R11" s="87"/>
      <c r="S11" s="87"/>
      <c r="T11" s="87" t="s">
        <v>238</v>
      </c>
      <c r="U11" s="87"/>
      <c r="V11" s="91" t="s">
        <v>245</v>
      </c>
      <c r="W11" s="89">
        <v>43893.50262731482</v>
      </c>
      <c r="X11" s="93">
        <v>43893</v>
      </c>
      <c r="Y11" s="95" t="s">
        <v>253</v>
      </c>
      <c r="Z11" s="91" t="s">
        <v>261</v>
      </c>
      <c r="AA11" s="87"/>
      <c r="AB11" s="87"/>
      <c r="AC11" s="95" t="s">
        <v>269</v>
      </c>
      <c r="AD11" s="87"/>
      <c r="AE11" s="87" t="b">
        <v>0</v>
      </c>
      <c r="AF11" s="87">
        <v>0</v>
      </c>
      <c r="AG11" s="95" t="s">
        <v>273</v>
      </c>
      <c r="AH11" s="87" t="b">
        <v>0</v>
      </c>
      <c r="AI11" s="87" t="s">
        <v>275</v>
      </c>
      <c r="AJ11" s="87"/>
      <c r="AK11" s="95" t="s">
        <v>273</v>
      </c>
      <c r="AL11" s="87" t="b">
        <v>0</v>
      </c>
      <c r="AM11" s="87">
        <v>2</v>
      </c>
      <c r="AN11" s="95" t="s">
        <v>268</v>
      </c>
      <c r="AO11" s="87" t="s">
        <v>276</v>
      </c>
      <c r="AP11" s="87" t="b">
        <v>0</v>
      </c>
      <c r="AQ11" s="95" t="s">
        <v>268</v>
      </c>
      <c r="AR11" s="87" t="s">
        <v>176</v>
      </c>
      <c r="AS11" s="87">
        <v>0</v>
      </c>
      <c r="AT11" s="87">
        <v>0</v>
      </c>
      <c r="AU11" s="87"/>
      <c r="AV11" s="87"/>
      <c r="AW11" s="87"/>
      <c r="AX11" s="87"/>
      <c r="AY11" s="87"/>
      <c r="AZ11" s="87"/>
      <c r="BA11" s="87"/>
      <c r="BB11" s="87"/>
      <c r="BC11">
        <v>1</v>
      </c>
      <c r="BD11" s="86" t="str">
        <f>REPLACE(INDEX(GroupVertices[Group],MATCH(Edges11[[#This Row],[Vertex 1]],GroupVertices[Vertex],0)),1,1,"")</f>
        <v>1</v>
      </c>
      <c r="BE11" s="86" t="str">
        <f>REPLACE(INDEX(GroupVertices[Group],MATCH(Edges11[[#This Row],[Vertex 2]],GroupVertices[Vertex],0)),1,1,"")</f>
        <v>1</v>
      </c>
    </row>
    <row r="12" spans="1:57" ht="15">
      <c r="A12" s="85" t="s">
        <v>218</v>
      </c>
      <c r="B12" s="85" t="s">
        <v>222</v>
      </c>
      <c r="C12" s="54"/>
      <c r="D12" s="55"/>
      <c r="E12" s="66"/>
      <c r="F12" s="56"/>
      <c r="G12" s="54"/>
      <c r="H12" s="58"/>
      <c r="I12" s="57"/>
      <c r="J12" s="57"/>
      <c r="K12" s="36" t="s">
        <v>65</v>
      </c>
      <c r="L12" s="84">
        <v>12</v>
      </c>
      <c r="M12" s="84"/>
      <c r="N12" s="64"/>
      <c r="O12" s="87" t="s">
        <v>223</v>
      </c>
      <c r="P12" s="89">
        <v>43793.69782407407</v>
      </c>
      <c r="Q12" s="87" t="s">
        <v>232</v>
      </c>
      <c r="R12" s="87"/>
      <c r="S12" s="87"/>
      <c r="T12" s="87" t="s">
        <v>237</v>
      </c>
      <c r="U12" s="87"/>
      <c r="V12" s="91" t="s">
        <v>244</v>
      </c>
      <c r="W12" s="89">
        <v>43793.69782407407</v>
      </c>
      <c r="X12" s="93">
        <v>43793</v>
      </c>
      <c r="Y12" s="95" t="s">
        <v>252</v>
      </c>
      <c r="Z12" s="91" t="s">
        <v>260</v>
      </c>
      <c r="AA12" s="87"/>
      <c r="AB12" s="87"/>
      <c r="AC12" s="95" t="s">
        <v>268</v>
      </c>
      <c r="AD12" s="95" t="s">
        <v>271</v>
      </c>
      <c r="AE12" s="87" t="b">
        <v>0</v>
      </c>
      <c r="AF12" s="87">
        <v>2</v>
      </c>
      <c r="AG12" s="95" t="s">
        <v>274</v>
      </c>
      <c r="AH12" s="87" t="b">
        <v>0</v>
      </c>
      <c r="AI12" s="87" t="s">
        <v>275</v>
      </c>
      <c r="AJ12" s="87"/>
      <c r="AK12" s="95" t="s">
        <v>273</v>
      </c>
      <c r="AL12" s="87" t="b">
        <v>0</v>
      </c>
      <c r="AM12" s="87">
        <v>2</v>
      </c>
      <c r="AN12" s="95" t="s">
        <v>273</v>
      </c>
      <c r="AO12" s="87" t="s">
        <v>276</v>
      </c>
      <c r="AP12" s="87" t="b">
        <v>0</v>
      </c>
      <c r="AQ12" s="95" t="s">
        <v>271</v>
      </c>
      <c r="AR12" s="87" t="s">
        <v>278</v>
      </c>
      <c r="AS12" s="87">
        <v>0</v>
      </c>
      <c r="AT12" s="87">
        <v>0</v>
      </c>
      <c r="AU12" s="87"/>
      <c r="AV12" s="87"/>
      <c r="AW12" s="87"/>
      <c r="AX12" s="87"/>
      <c r="AY12" s="87"/>
      <c r="AZ12" s="87"/>
      <c r="BA12" s="87"/>
      <c r="BB12" s="87"/>
      <c r="BC12">
        <v>1</v>
      </c>
      <c r="BD12" s="86" t="str">
        <f>REPLACE(INDEX(GroupVertices[Group],MATCH(Edges11[[#This Row],[Vertex 1]],GroupVertices[Vertex],0)),1,1,"")</f>
        <v>1</v>
      </c>
      <c r="BE12" s="86" t="str">
        <f>REPLACE(INDEX(GroupVertices[Group],MATCH(Edges11[[#This Row],[Vertex 2]],GroupVertices[Vertex],0)),1,1,"")</f>
        <v>1</v>
      </c>
    </row>
    <row r="13" spans="1:57" ht="15">
      <c r="A13" s="85" t="s">
        <v>219</v>
      </c>
      <c r="B13" s="85" t="s">
        <v>222</v>
      </c>
      <c r="C13" s="54"/>
      <c r="D13" s="55"/>
      <c r="E13" s="66"/>
      <c r="F13" s="56"/>
      <c r="G13" s="54"/>
      <c r="H13" s="58"/>
      <c r="I13" s="57"/>
      <c r="J13" s="57"/>
      <c r="K13" s="36" t="s">
        <v>65</v>
      </c>
      <c r="L13" s="84">
        <v>13</v>
      </c>
      <c r="M13" s="84"/>
      <c r="N13" s="64"/>
      <c r="O13" s="87" t="s">
        <v>224</v>
      </c>
      <c r="P13" s="89">
        <v>43893.50262731482</v>
      </c>
      <c r="Q13" s="87" t="s">
        <v>233</v>
      </c>
      <c r="R13" s="87"/>
      <c r="S13" s="87"/>
      <c r="T13" s="87" t="s">
        <v>238</v>
      </c>
      <c r="U13" s="87"/>
      <c r="V13" s="91" t="s">
        <v>245</v>
      </c>
      <c r="W13" s="89">
        <v>43893.50262731482</v>
      </c>
      <c r="X13" s="93">
        <v>43893</v>
      </c>
      <c r="Y13" s="95" t="s">
        <v>253</v>
      </c>
      <c r="Z13" s="91" t="s">
        <v>261</v>
      </c>
      <c r="AA13" s="87"/>
      <c r="AB13" s="87"/>
      <c r="AC13" s="95" t="s">
        <v>269</v>
      </c>
      <c r="AD13" s="87"/>
      <c r="AE13" s="87" t="b">
        <v>0</v>
      </c>
      <c r="AF13" s="87">
        <v>0</v>
      </c>
      <c r="AG13" s="95" t="s">
        <v>273</v>
      </c>
      <c r="AH13" s="87" t="b">
        <v>0</v>
      </c>
      <c r="AI13" s="87" t="s">
        <v>275</v>
      </c>
      <c r="AJ13" s="87"/>
      <c r="AK13" s="95" t="s">
        <v>273</v>
      </c>
      <c r="AL13" s="87" t="b">
        <v>0</v>
      </c>
      <c r="AM13" s="87">
        <v>2</v>
      </c>
      <c r="AN13" s="95" t="s">
        <v>268</v>
      </c>
      <c r="AO13" s="87" t="s">
        <v>276</v>
      </c>
      <c r="AP13" s="87" t="b">
        <v>0</v>
      </c>
      <c r="AQ13" s="95" t="s">
        <v>268</v>
      </c>
      <c r="AR13" s="87" t="s">
        <v>176</v>
      </c>
      <c r="AS13" s="87">
        <v>0</v>
      </c>
      <c r="AT13" s="87">
        <v>0</v>
      </c>
      <c r="AU13" s="87"/>
      <c r="AV13" s="87"/>
      <c r="AW13" s="87"/>
      <c r="AX13" s="87"/>
      <c r="AY13" s="87"/>
      <c r="AZ13" s="87"/>
      <c r="BA13" s="87"/>
      <c r="BB13" s="87"/>
      <c r="BC13">
        <v>1</v>
      </c>
      <c r="BD13" s="86" t="str">
        <f>REPLACE(INDEX(GroupVertices[Group],MATCH(Edges11[[#This Row],[Vertex 1]],GroupVertices[Vertex],0)),1,1,"")</f>
        <v>1</v>
      </c>
      <c r="BE13" s="86" t="str">
        <f>REPLACE(INDEX(GroupVertices[Group],MATCH(Edges11[[#This Row],[Vertex 2]],GroupVertices[Vertex],0)),1,1,"")</f>
        <v>1</v>
      </c>
    </row>
    <row r="14" spans="1:57" ht="15">
      <c r="A14" s="85" t="s">
        <v>219</v>
      </c>
      <c r="B14" s="85" t="s">
        <v>218</v>
      </c>
      <c r="C14" s="54"/>
      <c r="D14" s="55"/>
      <c r="E14" s="66"/>
      <c r="F14" s="56"/>
      <c r="G14" s="54"/>
      <c r="H14" s="58"/>
      <c r="I14" s="57"/>
      <c r="J14" s="57"/>
      <c r="K14" s="36" t="s">
        <v>65</v>
      </c>
      <c r="L14" s="84">
        <v>14</v>
      </c>
      <c r="M14" s="84"/>
      <c r="N14" s="64"/>
      <c r="O14" s="87" t="s">
        <v>224</v>
      </c>
      <c r="P14" s="89">
        <v>43893.50262731482</v>
      </c>
      <c r="Q14" s="87" t="s">
        <v>233</v>
      </c>
      <c r="R14" s="87"/>
      <c r="S14" s="87"/>
      <c r="T14" s="87" t="s">
        <v>238</v>
      </c>
      <c r="U14" s="87"/>
      <c r="V14" s="91" t="s">
        <v>245</v>
      </c>
      <c r="W14" s="89">
        <v>43893.50262731482</v>
      </c>
      <c r="X14" s="93">
        <v>43893</v>
      </c>
      <c r="Y14" s="95" t="s">
        <v>253</v>
      </c>
      <c r="Z14" s="91" t="s">
        <v>261</v>
      </c>
      <c r="AA14" s="87"/>
      <c r="AB14" s="87"/>
      <c r="AC14" s="95" t="s">
        <v>269</v>
      </c>
      <c r="AD14" s="87"/>
      <c r="AE14" s="87" t="b">
        <v>0</v>
      </c>
      <c r="AF14" s="87">
        <v>0</v>
      </c>
      <c r="AG14" s="95" t="s">
        <v>273</v>
      </c>
      <c r="AH14" s="87" t="b">
        <v>0</v>
      </c>
      <c r="AI14" s="87" t="s">
        <v>275</v>
      </c>
      <c r="AJ14" s="87"/>
      <c r="AK14" s="95" t="s">
        <v>273</v>
      </c>
      <c r="AL14" s="87" t="b">
        <v>0</v>
      </c>
      <c r="AM14" s="87">
        <v>2</v>
      </c>
      <c r="AN14" s="95" t="s">
        <v>268</v>
      </c>
      <c r="AO14" s="87" t="s">
        <v>276</v>
      </c>
      <c r="AP14" s="87" t="b">
        <v>0</v>
      </c>
      <c r="AQ14" s="95" t="s">
        <v>268</v>
      </c>
      <c r="AR14" s="87" t="s">
        <v>176</v>
      </c>
      <c r="AS14" s="87">
        <v>0</v>
      </c>
      <c r="AT14" s="87">
        <v>0</v>
      </c>
      <c r="AU14" s="87"/>
      <c r="AV14" s="87"/>
      <c r="AW14" s="87"/>
      <c r="AX14" s="87"/>
      <c r="AY14" s="87"/>
      <c r="AZ14" s="87"/>
      <c r="BA14" s="87"/>
      <c r="BB14" s="87"/>
      <c r="BC14">
        <v>1</v>
      </c>
      <c r="BD14" s="86" t="str">
        <f>REPLACE(INDEX(GroupVertices[Group],MATCH(Edges11[[#This Row],[Vertex 1]],GroupVertices[Vertex],0)),1,1,"")</f>
        <v>1</v>
      </c>
      <c r="BE14" s="86"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U3" r:id="rId1" display="https://pbs.twimg.com/media/EKKFomjXYAIwi-i.jpg"/>
    <hyperlink ref="U4" r:id="rId2" display="https://pbs.twimg.com/media/EKJ4oh6WkAI-UAC.jpg"/>
    <hyperlink ref="U7" r:id="rId3" display="https://pbs.twimg.com/media/EK5AeeiWwAEndgl.jpg"/>
    <hyperlink ref="V3" r:id="rId4" display="https://pbs.twimg.com/media/EKKFomjXYAIwi-i.jpg"/>
    <hyperlink ref="V4" r:id="rId5" display="https://pbs.twimg.com/media/EKJ4oh6WkAI-UAC.jpg"/>
    <hyperlink ref="V5" r:id="rId6" display="http://pbs.twimg.com/profile_images/1044179426525761537/HcZurn5l_normal.jpg"/>
    <hyperlink ref="V6" r:id="rId7" display="http://pbs.twimg.com/profile_images/1044179426525761537/HcZurn5l_normal.jpg"/>
    <hyperlink ref="V7" r:id="rId8" display="https://pbs.twimg.com/media/EK5AeeiWwAEndgl.jpg"/>
    <hyperlink ref="V8" r:id="rId9" display="http://pbs.twimg.com/profile_images/721686527181504512/pXrfop2b_normal.jpg"/>
    <hyperlink ref="V9" r:id="rId10" display="http://pbs.twimg.com/profile_images/721686527181504512/pXrfop2b_normal.jpg"/>
    <hyperlink ref="V10" r:id="rId11" display="http://pbs.twimg.com/profile_images/1183534860033495040/Du8nVUdj_normal.jpg"/>
    <hyperlink ref="V11" r:id="rId12" display="http://pbs.twimg.com/profile_images/1214647369574309888/zRsh3ygM_normal.jpg"/>
    <hyperlink ref="V12" r:id="rId13" display="http://pbs.twimg.com/profile_images/1183534860033495040/Du8nVUdj_normal.jpg"/>
    <hyperlink ref="V13" r:id="rId14" display="http://pbs.twimg.com/profile_images/1214647369574309888/zRsh3ygM_normal.jpg"/>
    <hyperlink ref="V14" r:id="rId15" display="http://pbs.twimg.com/profile_images/1214647369574309888/zRsh3ygM_normal.jpg"/>
    <hyperlink ref="Z3" r:id="rId16" display="https://twitter.com/#!/nrenard75/status/1198667404244590592"/>
    <hyperlink ref="Z4" r:id="rId17" display="https://twitter.com/#!/nrenard75/status/1198653094999085056"/>
    <hyperlink ref="Z5" r:id="rId18" display="https://twitter.com/#!/cmelysee/status/1233796983464321027"/>
    <hyperlink ref="Z6" r:id="rId19" display="https://twitter.com/#!/cmelysee/status/1233796993744588800"/>
    <hyperlink ref="Z7" r:id="rId20" display="https://twitter.com/#!/lorentzmathias/status/1201959768614678530"/>
    <hyperlink ref="Z8" r:id="rId21" display="https://twitter.com/#!/rickbath33/status/1234143949226479617"/>
    <hyperlink ref="Z9" r:id="rId22" display="https://twitter.com/#!/rickbath33/status/1234143949226479617"/>
    <hyperlink ref="Z10" r:id="rId23" display="https://twitter.com/#!/spindocfrance/status/1198643658746191873"/>
    <hyperlink ref="Z11" r:id="rId24" display="https://twitter.com/#!/pierre_perret01/status/1234811709472333825"/>
    <hyperlink ref="Z12" r:id="rId25" display="https://twitter.com/#!/spindocfrance/status/1198643658746191873"/>
    <hyperlink ref="Z13" r:id="rId26" display="https://twitter.com/#!/pierre_perret01/status/1234811709472333825"/>
    <hyperlink ref="Z14" r:id="rId27" display="https://twitter.com/#!/pierre_perret01/status/1234811709472333825"/>
  </hyperlinks>
  <printOptions/>
  <pageMargins left="0.7" right="0.7" top="0.75" bottom="0.75" header="0.3" footer="0.3"/>
  <pageSetup horizontalDpi="600" verticalDpi="600" orientation="portrait" r:id="rId31"/>
  <legacyDrawing r:id="rId29"/>
  <tableParts>
    <tablePart r:id="rId30"/>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361</v>
      </c>
      <c r="K7" s="13" t="s">
        <v>362</v>
      </c>
    </row>
    <row r="8" spans="1:11" ht="409.5">
      <c r="A8"/>
      <c r="B8">
        <v>2</v>
      </c>
      <c r="C8">
        <v>2</v>
      </c>
      <c r="D8" t="s">
        <v>61</v>
      </c>
      <c r="E8" t="s">
        <v>61</v>
      </c>
      <c r="H8" t="s">
        <v>73</v>
      </c>
      <c r="J8" t="s">
        <v>363</v>
      </c>
      <c r="K8" s="13" t="s">
        <v>364</v>
      </c>
    </row>
    <row r="9" spans="1:11" ht="409.5">
      <c r="A9"/>
      <c r="B9">
        <v>3</v>
      </c>
      <c r="C9">
        <v>4</v>
      </c>
      <c r="D9" t="s">
        <v>62</v>
      </c>
      <c r="E9" t="s">
        <v>62</v>
      </c>
      <c r="H9" t="s">
        <v>74</v>
      </c>
      <c r="J9" t="s">
        <v>365</v>
      </c>
      <c r="K9" s="13" t="s">
        <v>366</v>
      </c>
    </row>
    <row r="10" spans="1:11" ht="409.5">
      <c r="A10"/>
      <c r="B10">
        <v>4</v>
      </c>
      <c r="D10" t="s">
        <v>63</v>
      </c>
      <c r="E10" t="s">
        <v>63</v>
      </c>
      <c r="H10" t="s">
        <v>75</v>
      </c>
      <c r="J10" t="s">
        <v>367</v>
      </c>
      <c r="K10" s="13" t="s">
        <v>368</v>
      </c>
    </row>
    <row r="11" spans="1:11" ht="15">
      <c r="A11"/>
      <c r="B11">
        <v>5</v>
      </c>
      <c r="D11" t="s">
        <v>46</v>
      </c>
      <c r="E11">
        <v>1</v>
      </c>
      <c r="H11" t="s">
        <v>76</v>
      </c>
      <c r="J11" t="s">
        <v>369</v>
      </c>
      <c r="K11" t="s">
        <v>370</v>
      </c>
    </row>
    <row r="12" spans="1:11" ht="15">
      <c r="A12"/>
      <c r="B12"/>
      <c r="D12" t="s">
        <v>64</v>
      </c>
      <c r="E12">
        <v>2</v>
      </c>
      <c r="H12">
        <v>0</v>
      </c>
      <c r="J12" t="s">
        <v>371</v>
      </c>
      <c r="K12" t="s">
        <v>372</v>
      </c>
    </row>
    <row r="13" spans="1:11" ht="15">
      <c r="A13"/>
      <c r="B13"/>
      <c r="D13">
        <v>1</v>
      </c>
      <c r="E13">
        <v>3</v>
      </c>
      <c r="H13">
        <v>1</v>
      </c>
      <c r="J13" t="s">
        <v>373</v>
      </c>
      <c r="K13" t="s">
        <v>374</v>
      </c>
    </row>
    <row r="14" spans="4:11" ht="15">
      <c r="D14">
        <v>2</v>
      </c>
      <c r="E14">
        <v>4</v>
      </c>
      <c r="H14">
        <v>2</v>
      </c>
      <c r="J14" t="s">
        <v>375</v>
      </c>
      <c r="K14" t="s">
        <v>376</v>
      </c>
    </row>
    <row r="15" spans="4:11" ht="15">
      <c r="D15">
        <v>3</v>
      </c>
      <c r="E15">
        <v>5</v>
      </c>
      <c r="H15">
        <v>3</v>
      </c>
      <c r="J15" t="s">
        <v>377</v>
      </c>
      <c r="K15" t="s">
        <v>378</v>
      </c>
    </row>
    <row r="16" spans="4:11" ht="15">
      <c r="D16">
        <v>4</v>
      </c>
      <c r="E16">
        <v>6</v>
      </c>
      <c r="H16">
        <v>4</v>
      </c>
      <c r="J16" t="s">
        <v>379</v>
      </c>
      <c r="K16" t="s">
        <v>380</v>
      </c>
    </row>
    <row r="17" spans="4:11" ht="15">
      <c r="D17">
        <v>5</v>
      </c>
      <c r="E17">
        <v>7</v>
      </c>
      <c r="H17">
        <v>5</v>
      </c>
      <c r="J17" t="s">
        <v>381</v>
      </c>
      <c r="K17" t="s">
        <v>382</v>
      </c>
    </row>
    <row r="18" spans="4:11" ht="15">
      <c r="D18">
        <v>6</v>
      </c>
      <c r="E18">
        <v>8</v>
      </c>
      <c r="H18">
        <v>6</v>
      </c>
      <c r="J18" t="s">
        <v>383</v>
      </c>
      <c r="K18" t="s">
        <v>384</v>
      </c>
    </row>
    <row r="19" spans="4:11" ht="15">
      <c r="D19">
        <v>7</v>
      </c>
      <c r="E19">
        <v>9</v>
      </c>
      <c r="H19">
        <v>7</v>
      </c>
      <c r="J19" t="s">
        <v>385</v>
      </c>
      <c r="K19" t="s">
        <v>386</v>
      </c>
    </row>
    <row r="20" spans="4:11" ht="15">
      <c r="D20">
        <v>8</v>
      </c>
      <c r="H20">
        <v>8</v>
      </c>
      <c r="J20" t="s">
        <v>387</v>
      </c>
      <c r="K20" t="s">
        <v>388</v>
      </c>
    </row>
    <row r="21" spans="4:11" ht="409.5">
      <c r="D21">
        <v>9</v>
      </c>
      <c r="H21">
        <v>9</v>
      </c>
      <c r="J21" t="s">
        <v>389</v>
      </c>
      <c r="K21" s="13" t="s">
        <v>390</v>
      </c>
    </row>
    <row r="22" spans="4:11" ht="409.5">
      <c r="D22">
        <v>10</v>
      </c>
      <c r="J22" t="s">
        <v>391</v>
      </c>
      <c r="K22" s="13" t="s">
        <v>392</v>
      </c>
    </row>
    <row r="23" spans="4:11" ht="409.5">
      <c r="D23">
        <v>11</v>
      </c>
      <c r="J23" t="s">
        <v>393</v>
      </c>
      <c r="K23" s="13" t="s">
        <v>415</v>
      </c>
    </row>
    <row r="24" spans="10:11" ht="409.5">
      <c r="J24" t="s">
        <v>394</v>
      </c>
      <c r="K24" s="13" t="s">
        <v>414</v>
      </c>
    </row>
    <row r="25" spans="10:11" ht="15">
      <c r="J25" t="s">
        <v>395</v>
      </c>
      <c r="K25" t="b">
        <v>0</v>
      </c>
    </row>
    <row r="26" spans="10:11" ht="15">
      <c r="J26" t="s">
        <v>412</v>
      </c>
      <c r="K26" t="s">
        <v>413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1" t="s">
        <v>408</v>
      </c>
      <c r="B25" t="s">
        <v>407</v>
      </c>
    </row>
    <row r="26" spans="1:2" ht="15">
      <c r="A26" s="132">
        <v>43793.69782407407</v>
      </c>
      <c r="B26" s="3">
        <v>2</v>
      </c>
    </row>
    <row r="27" spans="1:2" ht="15">
      <c r="A27" s="132">
        <v>43793.72386574074</v>
      </c>
      <c r="B27" s="3">
        <v>1</v>
      </c>
    </row>
    <row r="28" spans="1:2" ht="15">
      <c r="A28" s="132">
        <v>43793.763344907406</v>
      </c>
      <c r="B28" s="3">
        <v>1</v>
      </c>
    </row>
    <row r="29" spans="1:2" ht="15">
      <c r="A29" s="132">
        <v>43802.848541666666</v>
      </c>
      <c r="B29" s="3">
        <v>1</v>
      </c>
    </row>
    <row r="30" spans="1:2" ht="15">
      <c r="A30" s="132">
        <v>43890.702523148146</v>
      </c>
      <c r="B30" s="3">
        <v>1</v>
      </c>
    </row>
    <row r="31" spans="1:2" ht="15">
      <c r="A31" s="132">
        <v>43890.7025462963</v>
      </c>
      <c r="B31" s="3">
        <v>1</v>
      </c>
    </row>
    <row r="32" spans="1:2" ht="15">
      <c r="A32" s="132">
        <v>43891.65996527778</v>
      </c>
      <c r="B32" s="3">
        <v>2</v>
      </c>
    </row>
    <row r="33" spans="1:2" ht="15">
      <c r="A33" s="132">
        <v>43893.50262731482</v>
      </c>
      <c r="B33" s="3">
        <v>3</v>
      </c>
    </row>
    <row r="34" spans="1:2" ht="15">
      <c r="A34" s="132" t="s">
        <v>409</v>
      </c>
      <c r="B34"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2020-03-14T16:00:44Z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