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<sst xmlns="http://schemas.openxmlformats.org/spreadsheetml/2006/main" count="1090" uniqueCount="504">
  <si>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</si>
  <si>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</si>
  <si>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</si>
  <si>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</si>
  <si>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</si>
  <si>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</si>
  <si>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</si>
  <si>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</si>
  <si>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</si>
  <si>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</si>
  <si>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</si>
  <si>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</si>
  <si>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</si>
  <si>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</si>
  <si>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</si>
  <si>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</si>
  <si>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</si>
  <si>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</si>
  <si>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</si>
  <si>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</si>
  <si>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</si>
  <si>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</si>
  <si>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</si>
  <si>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</si>
  <si>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</si>
  <si>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</si>
  <si>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</si>
  <si>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</si>
  <si>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</si>
  <si>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</si>
  <si>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</si>
  <si>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</si>
  <si>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</si>
  <si>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</si>
  <si>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</si>
  <si>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</si>
  <si>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</si>
  <si>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</si>
  <si>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</si>
  <si>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</si>
  <si>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</si>
  <si>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</si>
  <si>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</si>
  <si>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</si>
  <si>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</si>
  <si>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</si>
  <si>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</si>
  <si>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</si>
  <si>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</si>
  <si>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</si>
  <si>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</si>
  <si>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</si>
  <si>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</si>
  <si>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</si>
  <si>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</si>
  <si>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</si>
  <si>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</si>
  <si>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</si>
  <si>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</si>
  <si>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</si>
  <si>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</si>
  <si>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</si>
  <si>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</si>
  <si>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</si>
  <si>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</si>
  <si>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</si>
  <si>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</si>
  <si>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</si>
  <si>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</si>
  <si>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</si>
  <si>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</si>
  <si>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</si>
  <si>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</si>
  <si>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</si>
  <si>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</si>
  <si>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</si>
  <si>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</si>
  <si>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</si>
  <si>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</si>
  <si>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</si>
  <si>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</si>
  <si>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</si>
  <si>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</si>
  <si>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</si>
  <si>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</si>
  <si>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</si>
  <si>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</si>
  <si>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</si>
  <si>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</si>
  <si>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</si>
  <si>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</si>
  <si>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</si>
  <si>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</si>
  <si>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</si>
  <si>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</si>
  <si>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</si>
  <si>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</si>
  <si>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</si>
  <si>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</si>
  <si>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</si>
  <si>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</si>
  <si>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</si>
  <si>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</si>
  <si>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</si>
  <si>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</si>
  <si>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</si>
  <si>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</si>
  <si>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</si>
  <si>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</si>
  <si>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</si>
  <si>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</si>
  <si>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</si>
  <si>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</si>
  <si>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</si>
  <si>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</si>
  <si>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</si>
  <si>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</si>
  <si>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</si>
  <si>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</si>
  <si>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</si>
  <si>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</si>
  <si>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</si>
  <si>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</si>
  <si>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</si>
  <si>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</si>
  <si>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</si>
  <si>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</si>
  <si>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</si>
  <si>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</si>
  <si>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</si>
  <si>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</si>
  <si>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</si>
  <si>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</si>
  <si>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</si>
  <si>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</si>
  <si>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</si>
  <si>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</si>
  <si>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</si>
  <si>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</si>
  <si>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</si>
  <si>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</si>
  <si>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</si>
  <si>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</si>
  <si>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</si>
  <si>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</si>
  <si>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</si>
  <si>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</si>
  <si>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</si>
  <si>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</si>
  <si>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</si>
  <si>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</si>
  <si>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</si>
  <si>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</si>
  <si>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</si>
  <si>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</si>
  <si>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</si>
  <si>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</si>
  <si>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</si>
  <si>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</si>
  <si>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</si>
  <si>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</si>
  <si>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</si>
  <si>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</si>
  <si>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</si>
  <si>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</si>
  <si>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</si>
  <si>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</si>
  <si>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</si>
  <si>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</si>
  <si>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</si>
  <si>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</si>
  <si>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</si>
  <si>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</si>
  <si>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</si>
  <si>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</si>
  <si>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</si>
  <si>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</si>
  <si>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</si>
  <si>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</si>
  <si>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</si>
  <si>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</si>
  <si>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</si>
  <si>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</si>
  <si>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</si>
  <si>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</si>
  <si>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</si>
  <si>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</si>
  <si>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</si>
  <si>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</si>
  <si>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</si>
  <si>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</si>
  <si>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</si>
  <si>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</si>
  <si>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</si>
  <si>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</si>
  <si>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</si>
  <si>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</si>
  <si>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</si>
  <si>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</si>
  <si>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</si>
  <si>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</si>
  <si>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</si>
  <si>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</si>
  <si>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</si>
  <si>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</si>
  <si>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</si>
  <si>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</si>
  <si>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</si>
  <si>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</si>
  <si>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</si>
  <si>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</si>
  <si>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</si>
  <si>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koltaikolina</t>
  </si>
  <si>
    <t>saviaga</t>
  </si>
  <si>
    <t>modestmouseband</t>
  </si>
  <si>
    <t>theblackkeys</t>
  </si>
  <si>
    <t>meganmrim</t>
  </si>
  <si>
    <t>utischool</t>
  </si>
  <si>
    <t>Mentions</t>
  </si>
  <si>
    <t>I'm flying back to Austin tomorrow for #CSCW2019 and other #UTAustin events &amp;amp; I'm so excited bc
1. My peeps at @UTiSchool 
2. I'll be chilling w/ peeps from #CSST2019 
3. My second collab w/ peeps from #oiisdp (@saviaga @MeganMRim)
4. Finally seeing @theblackkeys @modestmouseband</t>
  </si>
  <si>
    <t>RT @KoltaiKolina: I'm flying back to Austin tomorrow for #CSCW2019 and other #UTAustin events &amp;amp; I'm so excited bc
1. My peeps at @UTiSchool…</t>
  </si>
  <si>
    <t>cscw2019 utaustin csst2019 oiisdp</t>
  </si>
  <si>
    <t>cscw2019 utaustin</t>
  </si>
  <si>
    <t>http://pbs.twimg.com/profile_images/1154453407144370177/ke6hZ2in_normal.jpg</t>
  </si>
  <si>
    <t>http://pbs.twimg.com/profile_images/1079374662763724801/tvIDz9T-_normal.jpg</t>
  </si>
  <si>
    <t>https://twitter.com/#!/koltaikolina/status/1191468084319539200</t>
  </si>
  <si>
    <t>https://twitter.com/#!/saviaga/status/1191565779977814016</t>
  </si>
  <si>
    <t>1191468084319539200</t>
  </si>
  <si>
    <t>1191565779977814016</t>
  </si>
  <si>
    <t/>
  </si>
  <si>
    <t>en</t>
  </si>
  <si>
    <t>Twitter Web App</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</si>
  <si>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</si>
  <si>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</si>
  <si>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</si>
  <si>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</si>
  <si>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</si>
  <si>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</si>
  <si>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</si>
  <si>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</si>
  <si>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</si>
  <si>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</si>
  <si>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</si>
  <si>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</si>
  <si>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</si>
  <si>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</si>
  <si>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</si>
  <si>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</si>
  <si>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</si>
  <si>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</si>
  <si>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</si>
  <si>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</si>
  <si>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</si>
  <si>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</si>
  <si>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Kolina Koltai (PhD 2020/Hire me)</t>
  </si>
  <si>
    <t>Modest Mouse</t>
  </si>
  <si>
    <t>The Black Keys</t>
  </si>
  <si>
    <t>Megan Rim</t>
  </si>
  <si>
    <t>Texas iSchool</t>
  </si>
  <si>
    <t>Claudia Flores-Saviaga</t>
  </si>
  <si>
    <t>PhD candidate at @utischool. Researching vaccine decision making, social networks, and human values. 
I make memes. 
Sunglasses addict _xD83D__xDE0E_</t>
  </si>
  <si>
    <t>Strangers to Ourselves available March 2015</t>
  </si>
  <si>
    <t>This is the official account for @TheBlackKeys (@DanAuerbach &amp; @PatrickCarney). Download TURN BLUE now: http://smarturl.it/turnblue.</t>
  </si>
  <si>
    <t>Doctoral candidate in American Culture and Digital Studies at UMICH</t>
  </si>
  <si>
    <t>Official Twitter account for The University of Texas at Austin, School of Information</t>
  </si>
  <si>
    <t>I research disinformation and ways to counter it using crowdsourcing and #AI. PhD student CS WVU | @Facebook Fellow | Past: @CarnegieMellon @oiioxford</t>
  </si>
  <si>
    <t>Denver, CO</t>
  </si>
  <si>
    <t>Akron, OH</t>
  </si>
  <si>
    <t>New York, NY</t>
  </si>
  <si>
    <t>Austin, Texas</t>
  </si>
  <si>
    <t>United States/Mexico</t>
  </si>
  <si>
    <t>https://t.co/i88DZt7LaQ</t>
  </si>
  <si>
    <t>http://t.co/By3A8hWwwZ</t>
  </si>
  <si>
    <t>http://www.theblackkeys.com/</t>
  </si>
  <si>
    <t>http://t.co/7GiSmB92Fw</t>
  </si>
  <si>
    <t>https://t.co/Y0GIkmE8MV</t>
  </si>
  <si>
    <t>Alaska</t>
  </si>
  <si>
    <t>https://pbs.twimg.com/profile_banners/770729895374708736/1558753244</t>
  </si>
  <si>
    <t>https://pbs.twimg.com/profile_banners/131003583/1422939982</t>
  </si>
  <si>
    <t>https://pbs.twimg.com/profile_banners/119875281/1396293089</t>
  </si>
  <si>
    <t>https://pbs.twimg.com/profile_banners/91526478/1482045108</t>
  </si>
  <si>
    <t>https://pbs.twimg.com/profile_banners/17159147/1376327969</t>
  </si>
  <si>
    <t>https://pbs.twimg.com/profile_banners/121881387/1428812985</t>
  </si>
  <si>
    <t>http://abs.twimg.com/images/themes/theme1/bg.png</t>
  </si>
  <si>
    <t>http://pbs.twimg.com/profile_background_images/450712276421472256/o3KTGePi.png</t>
  </si>
  <si>
    <t>http://abs.twimg.com/images/themes/theme10/bg.gif</t>
  </si>
  <si>
    <t>http://pbs.twimg.com/profile_images/544945516547551232/wgyeoQFc_normal.jpeg</t>
  </si>
  <si>
    <t>http://pbs.twimg.com/profile_images/448187550084001792/J7_bm7JV_normal.png</t>
  </si>
  <si>
    <t>http://pbs.twimg.com/profile_images/483139257008017408/vhUoshjo_normal.jpeg</t>
  </si>
  <si>
    <t>http://pbs.twimg.com/profile_images/656934081385500673/J5wHhpfP_normal.jpg</t>
  </si>
  <si>
    <t>Open Twitter Page for This Person</t>
  </si>
  <si>
    <t>https://twitter.com/koltaikolina</t>
  </si>
  <si>
    <t>https://twitter.com/modestmouseband</t>
  </si>
  <si>
    <t>https://twitter.com/theblackkeys</t>
  </si>
  <si>
    <t>https://twitter.com/meganmrim</t>
  </si>
  <si>
    <t>https://twitter.com/utischool</t>
  </si>
  <si>
    <t>https://twitter.com/saviaga</t>
  </si>
  <si>
    <t>koltaikolina
I'm flying back to Austin tomorrow
for #CSCW2019 and other #UTAustin
events &amp;amp; I'm so excited bc
1. My peeps at @UTiSchool 2. I'll
be chilling w/ peeps from #CSST2019
3. My second collab w/ peeps from
#oiisdp (@saviaga @MeganMRim) 4.
Finally seeing @theblackkeys @modestmouseband</t>
  </si>
  <si>
    <t xml:space="preserve">modestmouseband
</t>
  </si>
  <si>
    <t xml:space="preserve">theblackkeys
</t>
  </si>
  <si>
    <t xml:space="preserve">meganmrim
</t>
  </si>
  <si>
    <t xml:space="preserve">utischool
</t>
  </si>
  <si>
    <t>saviaga
RT @KoltaiKolina: I'm flying back
to Austin tomorrow for #CSCW2019
and other #UTAustin events &amp;amp;
I'm so excited bc 1. My peeps at
@UTiSchool…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</si>
  <si>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</si>
  <si>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</si>
  <si>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</si>
  <si>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</si>
  <si>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</si>
  <si>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</si>
  <si>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</si>
  <si>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</si>
  <si>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</si>
  <si>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</si>
  <si>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</si>
  <si>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</si>
  <si>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</si>
  <si>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</si>
  <si>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</si>
  <si>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</si>
  <si>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</si>
  <si>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</si>
  <si>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</si>
  <si>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</si>
  <si>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</si>
  <si>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</si>
  <si>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</si>
  <si>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</si>
  <si>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</si>
  <si>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</si>
  <si>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</si>
  <si>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</si>
  <si>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</si>
  <si>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</si>
  <si>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</si>
  <si>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</si>
  <si>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</si>
  <si>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</si>
  <si>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</si>
  <si>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</si>
  <si>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</si>
  <si>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</si>
  <si>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</si>
  <si>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</si>
  <si>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</si>
  <si>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</si>
  <si>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</si>
  <si>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</si>
  <si>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</si>
  <si>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</si>
  <si>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</si>
  <si>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</si>
  <si>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</si>
  <si>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</si>
  <si>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</si>
  <si>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</si>
  <si>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</si>
  <si>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</si>
  <si>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</si>
  <si>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</si>
  <si>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</si>
  <si>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</si>
  <si>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cscw2019</t>
  </si>
  <si>
    <t>utaustin</t>
  </si>
  <si>
    <t>csst2019</t>
  </si>
  <si>
    <t>oiisdp</t>
  </si>
  <si>
    <t>Top Hashtags in Tweet in G1</t>
  </si>
  <si>
    <t>Top Hashtags in Tweet in G2</t>
  </si>
  <si>
    <t>Top Hashtags in Tweet</t>
  </si>
  <si>
    <t>Top Words in Tweet in Entire Graph</t>
  </si>
  <si>
    <t>Words in Sentiment List#1: Positive</t>
  </si>
  <si>
    <t>Words in Sentiment List#2: Negative</t>
  </si>
  <si>
    <t>Words in Sentiment List#3: Angry/Violent</t>
  </si>
  <si>
    <t>Non-categorized Words</t>
  </si>
  <si>
    <t>Total Words</t>
  </si>
  <si>
    <t>peeps</t>
  </si>
  <si>
    <t>flying</t>
  </si>
  <si>
    <t>back</t>
  </si>
  <si>
    <t>austin</t>
  </si>
  <si>
    <t>tomorrow</t>
  </si>
  <si>
    <t>Top Words in Tweet in G1</t>
  </si>
  <si>
    <t>w</t>
  </si>
  <si>
    <t>Top Words in Tweet in G2</t>
  </si>
  <si>
    <t>Top Words in Tweet</t>
  </si>
  <si>
    <t>peeps w</t>
  </si>
  <si>
    <t>Top Word Pairs in Tweet in Entire Graph</t>
  </si>
  <si>
    <t>flying,back</t>
  </si>
  <si>
    <t>back,austin</t>
  </si>
  <si>
    <t>austin,tomorrow</t>
  </si>
  <si>
    <t>tomorrow,#cscw2019</t>
  </si>
  <si>
    <t>#cscw2019,#utaustin</t>
  </si>
  <si>
    <t>#utaustin,events</t>
  </si>
  <si>
    <t>events,excited</t>
  </si>
  <si>
    <t>excited,bc</t>
  </si>
  <si>
    <t>bc,1</t>
  </si>
  <si>
    <t>1,peeps</t>
  </si>
  <si>
    <t>Top Word Pairs in Tweet in G1</t>
  </si>
  <si>
    <t>w,peeps</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</si>
  <si>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</si>
  <si>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</si>
  <si>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</si>
  <si>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</si>
  <si>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</si>
  <si>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</si>
  <si>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</si>
  <si>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</si>
  <si>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</si>
  <si>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</si>
  <si>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utischool saviaga meganmrim theblackkeys modestmouseband</t>
  </si>
  <si>
    <t>koltaikolina utischool</t>
  </si>
  <si>
    <t>Top Tweeters in Entire Graph</t>
  </si>
  <si>
    <t>Top Tweeters in G1</t>
  </si>
  <si>
    <t>Top Tweeters in G2</t>
  </si>
  <si>
    <t>Top Tweeters</t>
  </si>
  <si>
    <t>theblackkeys koltaikolina meganmrim modestmouseband</t>
  </si>
  <si>
    <t>utischool saviaga</t>
  </si>
  <si>
    <t>Top URLs in Tweet by Count</t>
  </si>
  <si>
    <t>Top URLs in Tweet by Salience</t>
  </si>
  <si>
    <t>Top Domains in Tweet by Count</t>
  </si>
  <si>
    <t>Top Domains in Tweet by Salience</t>
  </si>
  <si>
    <t>Top Hashtags in Tweet by Count</t>
  </si>
  <si>
    <t>Top Hashtags in Tweet by Salience</t>
  </si>
  <si>
    <t>Top Words in Tweet by Count</t>
  </si>
  <si>
    <t>peeps w flying back austin tomorrow #cscw2019 #utaustin events excited</t>
  </si>
  <si>
    <t>koltaikolina flying back austin tomorrow #cscw2019 #utaustin events excited bc</t>
  </si>
  <si>
    <t>Top Words in Tweet by Salience</t>
  </si>
  <si>
    <t>Top Word Pairs in Tweet by Count</t>
  </si>
  <si>
    <t>w,peeps  flying,back  back,austin  austin,tomorrow  tomorrow,#cscw2019  #cscw2019,#utaustin  #utaustin,events  events,excited  excited,bc  bc,1</t>
  </si>
  <si>
    <t>koltaikolina,flying  flying,back  back,austin  austin,tomorrow  tomorrow,#cscw2019  #cscw2019,#utaustin  #utaustin,events  events,excited  excited,bc  bc,1</t>
  </si>
  <si>
    <t>Top Word Pairs in Tweet by Salience</t>
  </si>
  <si>
    <t>Word</t>
  </si>
  <si>
    <t>#cscw2019</t>
  </si>
  <si>
    <t>#utaustin</t>
  </si>
  <si>
    <t>events</t>
  </si>
  <si>
    <t>excited</t>
  </si>
  <si>
    <t>bc</t>
  </si>
  <si>
    <t>1</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</si>
  <si>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</si>
  <si>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</si>
  <si>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</si>
  <si>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</si>
  <si>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</si>
  <si>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</si>
  <si>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</si>
  <si>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</si>
  <si>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</si>
  <si>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</si>
  <si>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</si>
  <si>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</si>
  <si>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</si>
  <si>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</si>
  <si>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</si>
  <si>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</si>
  <si>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</si>
  <si>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</si>
  <si>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</si>
  <si>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</si>
  <si>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</si>
  <si>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</si>
  <si>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</si>
  <si>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</si>
  <si>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</si>
  <si>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</si>
  <si>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</si>
  <si>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</si>
  <si>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</si>
  <si>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</si>
  <si>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</si>
  <si>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</si>
  <si>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</si>
  <si>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</si>
  <si>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</si>
  <si>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</si>
  <si>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</si>
  <si>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</si>
  <si>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</si>
  <si>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</si>
  <si>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</si>
  <si>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</si>
  <si>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</si>
  <si>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</si>
  <si>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</si>
  <si>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</si>
  <si>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</si>
  <si>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</si>
  <si>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</si>
  <si>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</si>
  <si>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</si>
  <si>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</si>
  <si>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</si>
  <si>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</si>
  <si>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</si>
  <si>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</si>
  <si>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</si>
  <si>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</si>
  <si>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</si>
  <si>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</si>
  <si>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</si>
  <si>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</si>
  <si>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</si>
  <si>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</si>
  <si>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peeps w</t>
  </si>
  <si>
    <t>Autofill Workbook Results</t>
  </si>
  <si>
    <t>Edge Weight▓1▓1▓0▓True▓Gray▓Red▓▓Edge Weight▓1▓1▓0▓3▓10▓False▓Edge Weight▓1▓1▓0▓35▓12▓False▓▓0▓0▓0▓True▓Black▓Black▓▓Followers▓118▓58112▓0▓162▓1000▓False▓▓0▓0▓0▓0▓0▓False▓▓0▓0▓0▓0▓0▓False▓▓0▓0▓0▓0▓0▓False</t>
  </si>
  <si>
    <t>GraphSource░GraphServerTwitterSearch▓GraphTerm░oiisdp▓ImportDescription░The graph represents a network of 6 Twitter users whose tweets in the requested range contained "oiisdp", or who were replied to or mentioned in those tweets.  The network was obtained from the NodeXL Graph Server on Friday, 08 November 2019 at 17:17 UTC.
The requested start date was Wednesday, 06 November 2019 at 01:01 UTC and the maximum number of days (going backward) was 14.
The maximum number of tweets collected was 5,000.
The tweets in the network were tweeted over the 6-hour, 28-minute period from Monday, 04 November 2019 at 21:31 UTC to Tuesday, 05 November 2019 at 03:59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</si>
</sst>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1"/>
      <tableStyleElement type="headerRow" dxfId="370"/>
    </tableStyle>
    <tableStyle name="NodeXL Table" pivot="0" count="1">
      <tableStyleElement type="headerRow" dxfId="3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2341991"/>
        <c:axId val="24207008"/>
      </c:barChart>
      <c:catAx>
        <c:axId val="623419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207008"/>
        <c:crosses val="autoZero"/>
        <c:auto val="1"/>
        <c:lblOffset val="100"/>
        <c:noMultiLvlLbl val="0"/>
      </c:catAx>
      <c:valAx>
        <c:axId val="242070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419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oiisdp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11/4/2019 21:31</c:v>
                </c:pt>
                <c:pt idx="1">
                  <c:v>11/5/2019 3:59</c:v>
                </c:pt>
              </c:strCache>
            </c:strRef>
          </c:cat>
          <c:val>
            <c:numRef>
              <c:f>'Time Series'!$B$26:$B$28</c:f>
              <c:numCache>
                <c:formatCode>General</c:formatCode>
                <c:ptCount val="2"/>
                <c:pt idx="0">
                  <c:v>5</c:v>
                </c:pt>
                <c:pt idx="1">
                  <c:v>2</c:v>
                </c:pt>
              </c:numCache>
            </c:numRef>
          </c:val>
        </c:ser>
        <c:axId val="42527217"/>
        <c:axId val="47200634"/>
      </c:barChart>
      <c:catAx>
        <c:axId val="42527217"/>
        <c:scaling>
          <c:orientation val="minMax"/>
        </c:scaling>
        <c:axPos val="b"/>
        <c:delete val="0"/>
        <c:numFmt formatCode="General" sourceLinked="1"/>
        <c:majorTickMark val="out"/>
        <c:minorTickMark val="none"/>
        <c:tickLblPos val="nextTo"/>
        <c:crossAx val="47200634"/>
        <c:crosses val="autoZero"/>
        <c:auto val="1"/>
        <c:lblOffset val="100"/>
        <c:noMultiLvlLbl val="0"/>
      </c:catAx>
      <c:valAx>
        <c:axId val="47200634"/>
        <c:scaling>
          <c:orientation val="minMax"/>
        </c:scaling>
        <c:axPos val="l"/>
        <c:majorGridlines/>
        <c:delete val="0"/>
        <c:numFmt formatCode="General" sourceLinked="1"/>
        <c:majorTickMark val="out"/>
        <c:minorTickMark val="none"/>
        <c:tickLblPos val="nextTo"/>
        <c:crossAx val="425272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6536481"/>
        <c:axId val="14610602"/>
      </c:barChart>
      <c:catAx>
        <c:axId val="165364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610602"/>
        <c:crosses val="autoZero"/>
        <c:auto val="1"/>
        <c:lblOffset val="100"/>
        <c:noMultiLvlLbl val="0"/>
      </c:catAx>
      <c:valAx>
        <c:axId val="14610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36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4386555"/>
        <c:axId val="42608084"/>
      </c:barChart>
      <c:catAx>
        <c:axId val="643865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608084"/>
        <c:crosses val="autoZero"/>
        <c:auto val="1"/>
        <c:lblOffset val="100"/>
        <c:noMultiLvlLbl val="0"/>
      </c:catAx>
      <c:valAx>
        <c:axId val="42608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86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7928437"/>
        <c:axId val="28702750"/>
      </c:barChart>
      <c:catAx>
        <c:axId val="479284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702750"/>
        <c:crosses val="autoZero"/>
        <c:auto val="1"/>
        <c:lblOffset val="100"/>
        <c:noMultiLvlLbl val="0"/>
      </c:catAx>
      <c:valAx>
        <c:axId val="28702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28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6998159"/>
        <c:axId val="43221384"/>
      </c:barChart>
      <c:catAx>
        <c:axId val="569981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221384"/>
        <c:crosses val="autoZero"/>
        <c:auto val="1"/>
        <c:lblOffset val="100"/>
        <c:noMultiLvlLbl val="0"/>
      </c:catAx>
      <c:valAx>
        <c:axId val="43221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98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3448137"/>
        <c:axId val="11271186"/>
      </c:barChart>
      <c:catAx>
        <c:axId val="534481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271186"/>
        <c:crosses val="autoZero"/>
        <c:auto val="1"/>
        <c:lblOffset val="100"/>
        <c:noMultiLvlLbl val="0"/>
      </c:catAx>
      <c:valAx>
        <c:axId val="11271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48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4331811"/>
        <c:axId val="40550844"/>
      </c:barChart>
      <c:catAx>
        <c:axId val="343318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550844"/>
        <c:crosses val="autoZero"/>
        <c:auto val="1"/>
        <c:lblOffset val="100"/>
        <c:noMultiLvlLbl val="0"/>
      </c:catAx>
      <c:valAx>
        <c:axId val="40550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31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9413277"/>
        <c:axId val="63392902"/>
      </c:barChart>
      <c:catAx>
        <c:axId val="294132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392902"/>
        <c:crosses val="autoZero"/>
        <c:auto val="1"/>
        <c:lblOffset val="100"/>
        <c:noMultiLvlLbl val="0"/>
      </c:catAx>
      <c:valAx>
        <c:axId val="63392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13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3665207"/>
        <c:axId val="34551408"/>
      </c:barChart>
      <c:catAx>
        <c:axId val="33665207"/>
        <c:scaling>
          <c:orientation val="minMax"/>
        </c:scaling>
        <c:axPos val="b"/>
        <c:delete val="1"/>
        <c:majorTickMark val="out"/>
        <c:minorTickMark val="none"/>
        <c:tickLblPos val="none"/>
        <c:crossAx val="34551408"/>
        <c:crosses val="autoZero"/>
        <c:auto val="1"/>
        <c:lblOffset val="100"/>
        <c:noMultiLvlLbl val="0"/>
      </c:catAx>
      <c:valAx>
        <c:axId val="34551408"/>
        <c:scaling>
          <c:orientation val="minMax"/>
        </c:scaling>
        <c:axPos val="l"/>
        <c:delete val="1"/>
        <c:majorTickMark val="out"/>
        <c:minorTickMark val="none"/>
        <c:tickLblPos val="none"/>
        <c:crossAx val="336652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38100</xdr:rowOff>
    </xdr:from>
    <xdr:to>
      <xdr:col>1</xdr:col>
      <xdr:colOff>914400</xdr:colOff>
      <xdr:row>59</xdr:row>
      <xdr:rowOff>180975</xdr:rowOff>
    </xdr:to>
    <xdr:graphicFrame macro="">
      <xdr:nvGraphicFramePr>
        <xdr:cNvPr id="2" name="DegreeHistogram"/>
        <xdr:cNvGraphicFramePr/>
      </xdr:nvGraphicFramePr>
      <xdr:xfrm>
        <a:off x="0" y="9953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66</xdr:row>
      <xdr:rowOff>38100</xdr:rowOff>
    </xdr:from>
    <xdr:to>
      <xdr:col>1</xdr:col>
      <xdr:colOff>914400</xdr:colOff>
      <xdr:row>73</xdr:row>
      <xdr:rowOff>180975</xdr:rowOff>
    </xdr:to>
    <xdr:graphicFrame macro="">
      <xdr:nvGraphicFramePr>
        <xdr:cNvPr id="5" name="InDegreeHistogram"/>
        <xdr:cNvGraphicFramePr/>
      </xdr:nvGraphicFramePr>
      <xdr:xfrm>
        <a:off x="0" y="12620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80</xdr:row>
      <xdr:rowOff>28575</xdr:rowOff>
    </xdr:from>
    <xdr:to>
      <xdr:col>1</xdr:col>
      <xdr:colOff>914400</xdr:colOff>
      <xdr:row>87</xdr:row>
      <xdr:rowOff>171450</xdr:rowOff>
    </xdr:to>
    <xdr:graphicFrame macro="">
      <xdr:nvGraphicFramePr>
        <xdr:cNvPr id="4" name="OutDegreeHistogram"/>
        <xdr:cNvGraphicFramePr/>
      </xdr:nvGraphicFramePr>
      <xdr:xfrm>
        <a:off x="0" y="15278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94</xdr:row>
      <xdr:rowOff>9525</xdr:rowOff>
    </xdr:from>
    <xdr:to>
      <xdr:col>1</xdr:col>
      <xdr:colOff>914400</xdr:colOff>
      <xdr:row>101</xdr:row>
      <xdr:rowOff>152400</xdr:rowOff>
    </xdr:to>
    <xdr:graphicFrame macro="">
      <xdr:nvGraphicFramePr>
        <xdr:cNvPr id="6" name="BetweennessCentralityHistogram"/>
        <xdr:cNvGraphicFramePr/>
      </xdr:nvGraphicFramePr>
      <xdr:xfrm>
        <a:off x="0" y="17926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108</xdr:row>
      <xdr:rowOff>19050</xdr:rowOff>
    </xdr:from>
    <xdr:to>
      <xdr:col>2</xdr:col>
      <xdr:colOff>0</xdr:colOff>
      <xdr:row>115</xdr:row>
      <xdr:rowOff>161925</xdr:rowOff>
    </xdr:to>
    <xdr:graphicFrame macro="">
      <xdr:nvGraphicFramePr>
        <xdr:cNvPr id="7" name="ClosenessCentralityHistogram"/>
        <xdr:cNvGraphicFramePr/>
      </xdr:nvGraphicFramePr>
      <xdr:xfrm>
        <a:off x="9525" y="20602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122</xdr:row>
      <xdr:rowOff>19050</xdr:rowOff>
    </xdr:from>
    <xdr:to>
      <xdr:col>1</xdr:col>
      <xdr:colOff>914400</xdr:colOff>
      <xdr:row>129</xdr:row>
      <xdr:rowOff>161925</xdr:rowOff>
    </xdr:to>
    <xdr:graphicFrame macro="">
      <xdr:nvGraphicFramePr>
        <xdr:cNvPr id="8" name="EigenvectorCentralityHistogram"/>
        <xdr:cNvGraphicFramePr/>
      </xdr:nvGraphicFramePr>
      <xdr:xfrm>
        <a:off x="0" y="23269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150</xdr:row>
      <xdr:rowOff>9525</xdr:rowOff>
    </xdr:from>
    <xdr:to>
      <xdr:col>1</xdr:col>
      <xdr:colOff>914400</xdr:colOff>
      <xdr:row>157</xdr:row>
      <xdr:rowOff>152400</xdr:rowOff>
    </xdr:to>
    <xdr:graphicFrame macro="">
      <xdr:nvGraphicFramePr>
        <xdr:cNvPr id="9" name="ClusteringCoefficientHistogram"/>
        <xdr:cNvGraphicFramePr/>
      </xdr:nvGraphicFramePr>
      <xdr:xfrm>
        <a:off x="0" y="28594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136</xdr:row>
      <xdr:rowOff>0</xdr:rowOff>
    </xdr:from>
    <xdr:to>
      <xdr:col>1</xdr:col>
      <xdr:colOff>914400</xdr:colOff>
      <xdr:row>143</xdr:row>
      <xdr:rowOff>142875</xdr:rowOff>
    </xdr:to>
    <xdr:graphicFrame macro="">
      <xdr:nvGraphicFramePr>
        <xdr:cNvPr id="10" name="ClusteringCoefficientHistogram"/>
        <xdr:cNvGraphicFramePr/>
      </xdr:nvGraphicFramePr>
      <xdr:xfrm>
        <a:off x="0" y="25917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Smith" refreshedVersion="5">
  <cacheSource type="worksheet">
    <worksheetSource ref="A2:BL9"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2">
        <s v="cscw2019 utaustin csst2019 oiisdp"/>
        <s v="cscw2019 utaustin"/>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19-11-04T21:31:42.000"/>
        <d v="2019-11-05T03:59:54.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koltaikolina"/>
    <s v="modestmouseband"/>
    <m/>
    <m/>
    <m/>
    <m/>
    <m/>
    <m/>
    <m/>
    <m/>
    <s v="No"/>
    <n v="3"/>
    <m/>
    <m/>
    <x v="0"/>
    <d v="2019-11-04T21:31:42.000"/>
    <s v="I'm flying back to Austin tomorrow for #CSCW2019 and other #UTAustin events &amp;amp; I'm so excited bc_x000a_1. My peeps at @UTiSchool _x000a_2. I'll be chilling w/ peeps from #CSST2019 _x000a_3. My second collab w/ peeps from #oiisdp (@saviaga @MeganMRim)_x000a_4. Finally seeing @theblackkeys @modestmouseband"/>
    <m/>
    <m/>
    <x v="0"/>
    <m/>
    <s v="http://pbs.twimg.com/profile_images/1154453407144370177/ke6hZ2in_normal.jpg"/>
    <x v="0"/>
    <s v="https://twitter.com/#!/koltaikolina/status/1191468084319539200"/>
    <m/>
    <m/>
    <s v="1191468084319539200"/>
    <m/>
    <b v="0"/>
    <n v="12"/>
    <s v=""/>
    <b v="0"/>
    <s v="en"/>
    <m/>
    <s v=""/>
    <b v="0"/>
    <n v="1"/>
    <s v=""/>
    <s v="Twitter Web App"/>
    <b v="0"/>
    <s v="1191468084319539200"/>
    <s v="Tweet"/>
    <n v="0"/>
    <n v="0"/>
    <m/>
    <m/>
    <m/>
    <m/>
    <m/>
    <m/>
    <m/>
    <m/>
    <n v="1"/>
    <s v="1"/>
    <s v="1"/>
    <m/>
    <m/>
    <m/>
    <m/>
    <m/>
    <m/>
    <m/>
    <m/>
    <m/>
  </r>
  <r>
    <s v="koltaikolina"/>
    <s v="theblackkeys"/>
    <m/>
    <m/>
    <m/>
    <m/>
    <m/>
    <m/>
    <m/>
    <m/>
    <s v="No"/>
    <n v="4"/>
    <m/>
    <m/>
    <x v="0"/>
    <d v="2019-11-04T21:31:42.000"/>
    <s v="I'm flying back to Austin tomorrow for #CSCW2019 and other #UTAustin events &amp;amp; I'm so excited bc_x000a_1. My peeps at @UTiSchool _x000a_2. I'll be chilling w/ peeps from #CSST2019 _x000a_3. My second collab w/ peeps from #oiisdp (@saviaga @MeganMRim)_x000a_4. Finally seeing @theblackkeys @modestmouseband"/>
    <m/>
    <m/>
    <x v="0"/>
    <m/>
    <s v="http://pbs.twimg.com/profile_images/1154453407144370177/ke6hZ2in_normal.jpg"/>
    <x v="0"/>
    <s v="https://twitter.com/#!/koltaikolina/status/1191468084319539200"/>
    <m/>
    <m/>
    <s v="1191468084319539200"/>
    <m/>
    <b v="0"/>
    <n v="12"/>
    <s v=""/>
    <b v="0"/>
    <s v="en"/>
    <m/>
    <s v=""/>
    <b v="0"/>
    <n v="1"/>
    <s v=""/>
    <s v="Twitter Web App"/>
    <b v="0"/>
    <s v="1191468084319539200"/>
    <s v="Tweet"/>
    <n v="0"/>
    <n v="0"/>
    <m/>
    <m/>
    <m/>
    <m/>
    <m/>
    <m/>
    <m/>
    <m/>
    <n v="1"/>
    <s v="1"/>
    <s v="1"/>
    <m/>
    <m/>
    <m/>
    <m/>
    <m/>
    <m/>
    <m/>
    <m/>
    <m/>
  </r>
  <r>
    <s v="koltaikolina"/>
    <s v="meganmrim"/>
    <m/>
    <m/>
    <m/>
    <m/>
    <m/>
    <m/>
    <m/>
    <m/>
    <s v="No"/>
    <n v="5"/>
    <m/>
    <m/>
    <x v="0"/>
    <d v="2019-11-04T21:31:42.000"/>
    <s v="I'm flying back to Austin tomorrow for #CSCW2019 and other #UTAustin events &amp;amp; I'm so excited bc_x000a_1. My peeps at @UTiSchool _x000a_2. I'll be chilling w/ peeps from #CSST2019 _x000a_3. My second collab w/ peeps from #oiisdp (@saviaga @MeganMRim)_x000a_4. Finally seeing @theblackkeys @modestmouseband"/>
    <m/>
    <m/>
    <x v="0"/>
    <m/>
    <s v="http://pbs.twimg.com/profile_images/1154453407144370177/ke6hZ2in_normal.jpg"/>
    <x v="0"/>
    <s v="https://twitter.com/#!/koltaikolina/status/1191468084319539200"/>
    <m/>
    <m/>
    <s v="1191468084319539200"/>
    <m/>
    <b v="0"/>
    <n v="12"/>
    <s v=""/>
    <b v="0"/>
    <s v="en"/>
    <m/>
    <s v=""/>
    <b v="0"/>
    <n v="1"/>
    <s v=""/>
    <s v="Twitter Web App"/>
    <b v="0"/>
    <s v="1191468084319539200"/>
    <s v="Tweet"/>
    <n v="0"/>
    <n v="0"/>
    <m/>
    <m/>
    <m/>
    <m/>
    <m/>
    <m/>
    <m/>
    <m/>
    <n v="1"/>
    <s v="1"/>
    <s v="1"/>
    <m/>
    <m/>
    <m/>
    <m/>
    <m/>
    <m/>
    <m/>
    <m/>
    <m/>
  </r>
  <r>
    <s v="koltaikolina"/>
    <s v="utischool"/>
    <m/>
    <m/>
    <m/>
    <m/>
    <m/>
    <m/>
    <m/>
    <m/>
    <s v="No"/>
    <n v="6"/>
    <m/>
    <m/>
    <x v="0"/>
    <d v="2019-11-04T21:31:42.000"/>
    <s v="I'm flying back to Austin tomorrow for #CSCW2019 and other #UTAustin events &amp;amp; I'm so excited bc_x000a_1. My peeps at @UTiSchool _x000a_2. I'll be chilling w/ peeps from #CSST2019 _x000a_3. My second collab w/ peeps from #oiisdp (@saviaga @MeganMRim)_x000a_4. Finally seeing @theblackkeys @modestmouseband"/>
    <m/>
    <m/>
    <x v="0"/>
    <m/>
    <s v="http://pbs.twimg.com/profile_images/1154453407144370177/ke6hZ2in_normal.jpg"/>
    <x v="0"/>
    <s v="https://twitter.com/#!/koltaikolina/status/1191468084319539200"/>
    <m/>
    <m/>
    <s v="1191468084319539200"/>
    <m/>
    <b v="0"/>
    <n v="12"/>
    <s v=""/>
    <b v="0"/>
    <s v="en"/>
    <m/>
    <s v=""/>
    <b v="0"/>
    <n v="1"/>
    <s v=""/>
    <s v="Twitter Web App"/>
    <b v="0"/>
    <s v="1191468084319539200"/>
    <s v="Tweet"/>
    <n v="0"/>
    <n v="0"/>
    <m/>
    <m/>
    <m/>
    <m/>
    <m/>
    <m/>
    <m/>
    <m/>
    <n v="1"/>
    <s v="1"/>
    <s v="2"/>
    <m/>
    <m/>
    <m/>
    <m/>
    <m/>
    <m/>
    <m/>
    <m/>
    <m/>
  </r>
  <r>
    <s v="saviaga"/>
    <s v="utischool"/>
    <m/>
    <m/>
    <m/>
    <m/>
    <m/>
    <m/>
    <m/>
    <m/>
    <s v="No"/>
    <n v="7"/>
    <m/>
    <m/>
    <x v="0"/>
    <d v="2019-11-05T03:59:54.000"/>
    <s v="RT @KoltaiKolina: I'm flying back to Austin tomorrow for #CSCW2019 and other #UTAustin events &amp;amp; I'm so excited bc_x000a_1. My peeps at @UTiSchool…"/>
    <m/>
    <m/>
    <x v="1"/>
    <m/>
    <s v="http://pbs.twimg.com/profile_images/1079374662763724801/tvIDz9T-_normal.jpg"/>
    <x v="1"/>
    <s v="https://twitter.com/#!/saviaga/status/1191565779977814016"/>
    <m/>
    <m/>
    <s v="1191565779977814016"/>
    <m/>
    <b v="0"/>
    <n v="0"/>
    <s v=""/>
    <b v="0"/>
    <s v="en"/>
    <m/>
    <s v=""/>
    <b v="0"/>
    <n v="1"/>
    <s v="1191468084319539200"/>
    <s v="Twitter for Android"/>
    <b v="0"/>
    <s v="1191468084319539200"/>
    <s v="Tweet"/>
    <n v="0"/>
    <n v="0"/>
    <m/>
    <m/>
    <m/>
    <m/>
    <m/>
    <m/>
    <m/>
    <m/>
    <n v="1"/>
    <s v="2"/>
    <s v="2"/>
    <m/>
    <m/>
    <m/>
    <m/>
    <m/>
    <m/>
    <m/>
    <m/>
    <m/>
  </r>
  <r>
    <s v="koltaikolina"/>
    <s v="saviaga"/>
    <m/>
    <m/>
    <m/>
    <m/>
    <m/>
    <m/>
    <m/>
    <m/>
    <s v="Yes"/>
    <n v="8"/>
    <m/>
    <m/>
    <x v="0"/>
    <d v="2019-11-04T21:31:42.000"/>
    <s v="I'm flying back to Austin tomorrow for #CSCW2019 and other #UTAustin events &amp;amp; I'm so excited bc_x000a_1. My peeps at @UTiSchool _x000a_2. I'll be chilling w/ peeps from #CSST2019 _x000a_3. My second collab w/ peeps from #oiisdp (@saviaga @MeganMRim)_x000a_4. Finally seeing @theblackkeys @modestmouseband"/>
    <m/>
    <m/>
    <x v="0"/>
    <m/>
    <s v="http://pbs.twimg.com/profile_images/1154453407144370177/ke6hZ2in_normal.jpg"/>
    <x v="0"/>
    <s v="https://twitter.com/#!/koltaikolina/status/1191468084319539200"/>
    <m/>
    <m/>
    <s v="1191468084319539200"/>
    <m/>
    <b v="0"/>
    <n v="12"/>
    <s v=""/>
    <b v="0"/>
    <s v="en"/>
    <m/>
    <s v=""/>
    <b v="0"/>
    <n v="1"/>
    <s v=""/>
    <s v="Twitter Web App"/>
    <b v="0"/>
    <s v="1191468084319539200"/>
    <s v="Tweet"/>
    <n v="0"/>
    <n v="0"/>
    <m/>
    <m/>
    <m/>
    <m/>
    <m/>
    <m/>
    <m/>
    <m/>
    <n v="1"/>
    <s v="1"/>
    <s v="2"/>
    <n v="1"/>
    <n v="2.2222222222222223"/>
    <n v="0"/>
    <n v="0"/>
    <n v="0"/>
    <n v="0"/>
    <n v="44"/>
    <n v="97.77777777777777"/>
    <n v="45"/>
  </r>
  <r>
    <s v="saviaga"/>
    <s v="koltaikolina"/>
    <m/>
    <m/>
    <m/>
    <m/>
    <m/>
    <m/>
    <m/>
    <m/>
    <s v="Yes"/>
    <n v="9"/>
    <m/>
    <m/>
    <x v="0"/>
    <d v="2019-11-05T03:59:54.000"/>
    <s v="RT @KoltaiKolina: I'm flying back to Austin tomorrow for #CSCW2019 and other #UTAustin events &amp;amp; I'm so excited bc_x000a_1. My peeps at @UTiSchool…"/>
    <m/>
    <m/>
    <x v="1"/>
    <m/>
    <s v="http://pbs.twimg.com/profile_images/1079374662763724801/tvIDz9T-_normal.jpg"/>
    <x v="1"/>
    <s v="https://twitter.com/#!/saviaga/status/1191565779977814016"/>
    <m/>
    <m/>
    <s v="1191565779977814016"/>
    <m/>
    <b v="0"/>
    <n v="0"/>
    <s v=""/>
    <b v="0"/>
    <s v="en"/>
    <m/>
    <s v=""/>
    <b v="0"/>
    <n v="1"/>
    <s v="1191468084319539200"/>
    <s v="Twitter for Android"/>
    <b v="0"/>
    <s v="1191468084319539200"/>
    <s v="Tweet"/>
    <n v="0"/>
    <n v="0"/>
    <m/>
    <m/>
    <m/>
    <m/>
    <m/>
    <m/>
    <m/>
    <m/>
    <n v="1"/>
    <s v="2"/>
    <s v="1"/>
    <n v="1"/>
    <n v="4.166666666666667"/>
    <n v="0"/>
    <n v="0"/>
    <n v="0"/>
    <n v="0"/>
    <n v="23"/>
    <n v="95.83333333333333"/>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9" totalsRowShown="0" headerRowDxfId="368" dataDxfId="367">
  <autoFilter ref="A2:BL9"/>
  <tableColumns count="64">
    <tableColumn id="1" name="Vertex 1" dataDxfId="366"/>
    <tableColumn id="2" name="Vertex 2" dataDxfId="365"/>
    <tableColumn id="3" name="Color" dataDxfId="364"/>
    <tableColumn id="4" name="Width" dataDxfId="363"/>
    <tableColumn id="11" name="Style" dataDxfId="362"/>
    <tableColumn id="5" name="Opacity" dataDxfId="361"/>
    <tableColumn id="6" name="Visibility" dataDxfId="360"/>
    <tableColumn id="10" name="Label" dataDxfId="359"/>
    <tableColumn id="12" name="Label Text Color" dataDxfId="358"/>
    <tableColumn id="13" name="Label Font Size" dataDxfId="357"/>
    <tableColumn id="14" name="Reciprocated?" dataDxfId="224"/>
    <tableColumn id="7" name="ID" dataDxfId="356"/>
    <tableColumn id="9" name="Dynamic Filter" dataDxfId="355"/>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Twitter Page for Tweet" dataDxfId="344"/>
    <tableColumn id="25" name="Latitude" dataDxfId="343"/>
    <tableColumn id="26" name="Longitude" dataDxfId="342"/>
    <tableColumn id="27" name="Imported ID" dataDxfId="341"/>
    <tableColumn id="28" name="In-Reply-To Tweet ID" dataDxfId="340"/>
    <tableColumn id="29" name="Favorited" dataDxfId="339"/>
    <tableColumn id="30" name="Favorite Count" dataDxfId="338"/>
    <tableColumn id="31" name="In-Reply-To User ID" dataDxfId="337"/>
    <tableColumn id="32" name="Is Quote Status" dataDxfId="336"/>
    <tableColumn id="33" name="Language" dataDxfId="335"/>
    <tableColumn id="34" name="Possibly Sensitive" dataDxfId="334"/>
    <tableColumn id="35" name="Quoted Status ID" dataDxfId="333"/>
    <tableColumn id="36" name="Retweeted" dataDxfId="332"/>
    <tableColumn id="37" name="Retweet Count" dataDxfId="331"/>
    <tableColumn id="38" name="Retweet ID" dataDxfId="330"/>
    <tableColumn id="39" name="Source" dataDxfId="329"/>
    <tableColumn id="40" name="Truncated" dataDxfId="328"/>
    <tableColumn id="41" name="Unified Twitter ID" dataDxfId="327"/>
    <tableColumn id="42" name="Imported Tweet Type" dataDxfId="326"/>
    <tableColumn id="43" name="Added By Extended Analysis" dataDxfId="325"/>
    <tableColumn id="44" name="Corrected By Extended Analysis" dataDxfId="324"/>
    <tableColumn id="45" name="Place Bounding Box" dataDxfId="323"/>
    <tableColumn id="46" name="Place Country" dataDxfId="322"/>
    <tableColumn id="47" name="Place Country Code" dataDxfId="321"/>
    <tableColumn id="48" name="Place Full Name" dataDxfId="320"/>
    <tableColumn id="49" name="Place ID" dataDxfId="319"/>
    <tableColumn id="50" name="Place Name" dataDxfId="318"/>
    <tableColumn id="51" name="Place Type" dataDxfId="317"/>
    <tableColumn id="52" name="Place URL" dataDxfId="316"/>
    <tableColumn id="53" name="Edge Weight"/>
    <tableColumn id="54" name="Vertex 1 Group" dataDxfId="23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F2" totalsRowShown="0" headerRowDxfId="223" dataDxfId="222">
  <autoFilter ref="A1:F2"/>
  <tableColumns count="6">
    <tableColumn id="1" name="Top URLs in Tweet in Entire Graph" dataDxfId="221"/>
    <tableColumn id="2" name="Entire Graph Count" dataDxfId="220"/>
    <tableColumn id="3" name="Top URLs in Tweet in G1" dataDxfId="219"/>
    <tableColumn id="4" name="G1 Count" dataDxfId="218"/>
    <tableColumn id="5" name="Top URLs in Tweet in G2" dataDxfId="217"/>
    <tableColumn id="6" name="G2 Count" dataDxfId="21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F5" totalsRowShown="0" headerRowDxfId="214" dataDxfId="213">
  <autoFilter ref="A4:F5"/>
  <tableColumns count="6">
    <tableColumn id="1" name="Top Domains in Tweet in Entire Graph" dataDxfId="212"/>
    <tableColumn id="2" name="Entire Graph Count" dataDxfId="211"/>
    <tableColumn id="3" name="Top Domains in Tweet in G1" dataDxfId="210"/>
    <tableColumn id="4" name="G1 Count" dataDxfId="209"/>
    <tableColumn id="5" name="Top Domains in Tweet in G2" dataDxfId="208"/>
    <tableColumn id="6" name="G2 Count" dataDxfId="20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F11" totalsRowShown="0" headerRowDxfId="205" dataDxfId="204">
  <autoFilter ref="A7:F11"/>
  <tableColumns count="6">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4:F24" totalsRowShown="0" headerRowDxfId="196" dataDxfId="195">
  <autoFilter ref="A14:F24"/>
  <tableColumns count="6">
    <tableColumn id="1" name="Top Words in Tweet in Entire Graph" dataDxfId="194"/>
    <tableColumn id="2" name="Entire Graph Count" dataDxfId="193"/>
    <tableColumn id="3" name="Top Words in Tweet in G1" dataDxfId="192"/>
    <tableColumn id="4" name="G1 Count" dataDxfId="191"/>
    <tableColumn id="5" name="Top Words in Tweet in G2" dataDxfId="190"/>
    <tableColumn id="6" name="G2 Count" dataDxfId="18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7:F37" totalsRowShown="0" headerRowDxfId="187" dataDxfId="186">
  <autoFilter ref="A27:F37"/>
  <tableColumns count="6">
    <tableColumn id="1" name="Top Word Pairs in Tweet in Entire Graph" dataDxfId="185"/>
    <tableColumn id="2" name="Entire Graph Count" dataDxfId="184"/>
    <tableColumn id="3" name="Top Word Pairs in Tweet in G1" dataDxfId="183"/>
    <tableColumn id="4" name="G1 Count" dataDxfId="182"/>
    <tableColumn id="5" name="Top Word Pairs in Tweet in G2" dataDxfId="181"/>
    <tableColumn id="6" name="G2 Count" dataDxfId="18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0:F41" totalsRowShown="0" headerRowDxfId="178" dataDxfId="177">
  <autoFilter ref="A40:F41"/>
  <tableColumns count="6">
    <tableColumn id="1" name="Top Replied-To in Entire Graph" dataDxfId="176"/>
    <tableColumn id="2" name="Entire Graph Count" dataDxfId="172"/>
    <tableColumn id="3" name="Top Replied-To in G1" dataDxfId="171"/>
    <tableColumn id="4" name="G1 Count" dataDxfId="168"/>
    <tableColumn id="5" name="Top Replied-To in G2" dataDxfId="167"/>
    <tableColumn id="6" name="G2 Count" dataDxfId="16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3:F49" totalsRowShown="0" headerRowDxfId="175" dataDxfId="174">
  <autoFilter ref="A43:F49"/>
  <tableColumns count="6">
    <tableColumn id="1" name="Top Mentioned in Entire Graph" dataDxfId="173"/>
    <tableColumn id="2" name="Entire Graph Count" dataDxfId="170"/>
    <tableColumn id="3" name="Top Mentioned in G1" dataDxfId="169"/>
    <tableColumn id="4" name="G1 Count" dataDxfId="165"/>
    <tableColumn id="5" name="Top Mentioned in G2" dataDxfId="164"/>
    <tableColumn id="6" name="G2 Count" dataDxfId="16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2:F58" totalsRowShown="0" headerRowDxfId="160" dataDxfId="159">
  <autoFilter ref="A52:F58"/>
  <tableColumns count="6">
    <tableColumn id="1" name="Top Tweeters in Entire Graph" dataDxfId="158"/>
    <tableColumn id="2" name="Entire Graph Count" dataDxfId="157"/>
    <tableColumn id="3" name="Top Tweeters in G1" dataDxfId="156"/>
    <tableColumn id="4" name="G1 Count" dataDxfId="155"/>
    <tableColumn id="5" name="Top Tweeters in G2" dataDxfId="154"/>
    <tableColumn id="6" name="G2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1" totalsRowShown="0" headerRowDxfId="141" dataDxfId="140">
  <autoFilter ref="A1:G21"/>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 totalsRowShown="0" headerRowDxfId="315" dataDxfId="314">
  <autoFilter ref="A2:BS8"/>
  <tableColumns count="71">
    <tableColumn id="1" name="Vertex" dataDxfId="313"/>
    <tableColumn id="2" name="Color" dataDxfId="312"/>
    <tableColumn id="5" name="Shape" dataDxfId="311"/>
    <tableColumn id="6" name="Size" dataDxfId="310"/>
    <tableColumn id="4" name="Opacity" dataDxfId="309"/>
    <tableColumn id="7" name="Image File" dataDxfId="308"/>
    <tableColumn id="3" name="Visibility" dataDxfId="307"/>
    <tableColumn id="10" name="Label" dataDxfId="306"/>
    <tableColumn id="16" name="Label Fill Color" dataDxfId="305"/>
    <tableColumn id="9" name="Label Position" dataDxfId="304"/>
    <tableColumn id="8" name="Tooltip" dataDxfId="303"/>
    <tableColumn id="18" name="Layout Order" dataDxfId="302"/>
    <tableColumn id="13" name="X" dataDxfId="301"/>
    <tableColumn id="14" name="Y" dataDxfId="300"/>
    <tableColumn id="12" name="Locked?" dataDxfId="299"/>
    <tableColumn id="19" name="Polar R" dataDxfId="298"/>
    <tableColumn id="20" name="Polar Angle" dataDxfId="29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96"/>
    <tableColumn id="28" name="Dynamic Filter" dataDxfId="295"/>
    <tableColumn id="17" name="Add Your Own Columns Here" dataDxfId="294"/>
    <tableColumn id="30" name="Name" dataDxfId="293"/>
    <tableColumn id="31" name="Followed" dataDxfId="292"/>
    <tableColumn id="32" name="Followers" dataDxfId="291"/>
    <tableColumn id="33" name="Tweets" dataDxfId="290"/>
    <tableColumn id="34" name="Favorites" dataDxfId="289"/>
    <tableColumn id="35" name="Time Zone UTC Offset (Seconds)" dataDxfId="288"/>
    <tableColumn id="36" name="Description" dataDxfId="287"/>
    <tableColumn id="37" name="Location" dataDxfId="286"/>
    <tableColumn id="38" name="Web" dataDxfId="285"/>
    <tableColumn id="39" name="Time Zone" dataDxfId="284"/>
    <tableColumn id="40" name="Joined Twitter Date (UTC)" dataDxfId="283"/>
    <tableColumn id="41" name="Profile Banner Url" dataDxfId="282"/>
    <tableColumn id="42" name="Default Profile" dataDxfId="281"/>
    <tableColumn id="43" name="Default Profile Image" dataDxfId="280"/>
    <tableColumn id="44" name="Geo Enabled" dataDxfId="279"/>
    <tableColumn id="45" name="Language" dataDxfId="278"/>
    <tableColumn id="46" name="Listed Count" dataDxfId="277"/>
    <tableColumn id="47" name="Profile Background Image Url" dataDxfId="276"/>
    <tableColumn id="48" name="Verified" dataDxfId="275"/>
    <tableColumn id="49" name="Custom Menu Item Text" dataDxfId="274"/>
    <tableColumn id="50" name="Custom Menu Item Action" dataDxfId="273"/>
    <tableColumn id="51" name="Tweeted Search Term?" dataDxfId="24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4" totalsRowShown="0" headerRowDxfId="132" dataDxfId="131">
  <autoFilter ref="A1:L1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6" totalsRowShown="0" headerRowDxfId="88" dataDxfId="87">
  <autoFilter ref="A2:C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9" totalsRowShown="0" headerRowDxfId="64" dataDxfId="63">
  <autoFilter ref="A2:BL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7" totalsRowShown="0" headerRowDxfId="70" dataDxfId="69">
  <autoFilter ref="A1:B7"/>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72">
  <autoFilter ref="A2:AO4"/>
  <tableColumns count="41">
    <tableColumn id="1" name="Group" dataDxfId="247"/>
    <tableColumn id="2" name="Vertex Color" dataDxfId="246"/>
    <tableColumn id="3" name="Vertex Shape" dataDxfId="244"/>
    <tableColumn id="22" name="Visibility" dataDxfId="245"/>
    <tableColumn id="4" name="Collapsed?"/>
    <tableColumn id="18" name="Label" dataDxfId="271"/>
    <tableColumn id="20" name="Collapsed X"/>
    <tableColumn id="21" name="Collapsed Y"/>
    <tableColumn id="6" name="ID" dataDxfId="270"/>
    <tableColumn id="19" name="Collapsed Properties" dataDxfId="238"/>
    <tableColumn id="5" name="Vertices" dataDxfId="237"/>
    <tableColumn id="7" name="Unique Edges" dataDxfId="236"/>
    <tableColumn id="8" name="Edges With Duplicates" dataDxfId="235"/>
    <tableColumn id="9" name="Total Edges" dataDxfId="234"/>
    <tableColumn id="10" name="Self-Loops" dataDxfId="233"/>
    <tableColumn id="24" name="Reciprocated Vertex Pair Ratio" dataDxfId="232"/>
    <tableColumn id="25" name="Reciprocated Edge Ratio" dataDxfId="231"/>
    <tableColumn id="11" name="Connected Components" dataDxfId="230"/>
    <tableColumn id="12" name="Single-Vertex Connected Components" dataDxfId="229"/>
    <tableColumn id="13" name="Maximum Vertices in a Connected Component" dataDxfId="228"/>
    <tableColumn id="14" name="Maximum Edges in a Connected Component" dataDxfId="227"/>
    <tableColumn id="15" name="Maximum Geodesic Distance (Diameter)" dataDxfId="226"/>
    <tableColumn id="16" name="Average Geodesic Distance" dataDxfId="225"/>
    <tableColumn id="17" name="Graph Density" dataDxfId="215"/>
    <tableColumn id="23" name="Top URLs in Tweet" dataDxfId="206"/>
    <tableColumn id="26" name="Top Domains in Tweet" dataDxfId="197"/>
    <tableColumn id="27" name="Top Hashtags in Tweet" dataDxfId="188"/>
    <tableColumn id="28" name="Top Words in Tweet" dataDxfId="179"/>
    <tableColumn id="29" name="Top Word Pairs in Tweet" dataDxfId="162"/>
    <tableColumn id="30" name="Top Replied-To in Tweet" dataDxfId="16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69" dataDxfId="268">
  <autoFilter ref="A1:C7"/>
  <tableColumns count="3">
    <tableColumn id="1" name="Group" dataDxfId="243"/>
    <tableColumn id="2" name="Vertex" dataDxfId="242"/>
    <tableColumn id="3" name="Vertex ID" dataDxfId="24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6" totalsRowShown="0">
  <autoFilter ref="A1:B46"/>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7"/>
    <tableColumn id="2" name="Degree Frequency" dataDxfId="266">
      <calculatedColumnFormula>COUNTIF(Vertices[Degree], "&gt;= " &amp; D2) - COUNTIF(Vertices[Degree], "&gt;=" &amp; D3)</calculatedColumnFormula>
    </tableColumn>
    <tableColumn id="3" name="In-Degree Bin" dataDxfId="265"/>
    <tableColumn id="4" name="In-Degree Frequency" dataDxfId="264">
      <calculatedColumnFormula>COUNTIF(Vertices[In-Degree], "&gt;= " &amp; F2) - COUNTIF(Vertices[In-Degree], "&gt;=" &amp; F3)</calculatedColumnFormula>
    </tableColumn>
    <tableColumn id="5" name="Out-Degree Bin" dataDxfId="263"/>
    <tableColumn id="6" name="Out-Degree Frequency" dataDxfId="262">
      <calculatedColumnFormula>COUNTIF(Vertices[Out-Degree], "&gt;= " &amp; H2) - COUNTIF(Vertices[Out-Degree], "&gt;=" &amp; H3)</calculatedColumnFormula>
    </tableColumn>
    <tableColumn id="7" name="Betweenness Centrality Bin" dataDxfId="261"/>
    <tableColumn id="8" name="Betweenness Centrality Frequency" dataDxfId="260">
      <calculatedColumnFormula>COUNTIF(Vertices[Betweenness Centrality], "&gt;= " &amp; J2) - COUNTIF(Vertices[Betweenness Centrality], "&gt;=" &amp; J3)</calculatedColumnFormula>
    </tableColumn>
    <tableColumn id="9" name="Closeness Centrality Bin" dataDxfId="259"/>
    <tableColumn id="10" name="Closeness Centrality Frequency" dataDxfId="258">
      <calculatedColumnFormula>COUNTIF(Vertices[Closeness Centrality], "&gt;= " &amp; L2) - COUNTIF(Vertices[Closeness Centrality], "&gt;=" &amp; L3)</calculatedColumnFormula>
    </tableColumn>
    <tableColumn id="11" name="Eigenvector Centrality Bin" dataDxfId="257"/>
    <tableColumn id="12" name="Eigenvector Centrality Frequency" dataDxfId="256">
      <calculatedColumnFormula>COUNTIF(Vertices[Eigenvector Centrality], "&gt;= " &amp; N2) - COUNTIF(Vertices[Eigenvector Centrality], "&gt;=" &amp; N3)</calculatedColumnFormula>
    </tableColumn>
    <tableColumn id="18" name="PageRank Bin" dataDxfId="255"/>
    <tableColumn id="17" name="PageRank Frequency" dataDxfId="254">
      <calculatedColumnFormula>COUNTIF(Vertices[Eigenvector Centrality], "&gt;= " &amp; P2) - COUNTIF(Vertices[Eigenvector Centrality], "&gt;=" &amp; P3)</calculatedColumnFormula>
    </tableColumn>
    <tableColumn id="13" name="Clustering Coefficient Bin" dataDxfId="253"/>
    <tableColumn id="14" name="Clustering Coefficient Frequency" dataDxfId="252">
      <calculatedColumnFormula>COUNTIF(Vertices[Clustering Coefficient], "&gt;= " &amp; R2) - COUNTIF(Vertices[Clustering Coefficient], "&gt;=" &amp; R3)</calculatedColumnFormula>
    </tableColumn>
    <tableColumn id="15" name="Dynamic Filter Bin" dataDxfId="251"/>
    <tableColumn id="16" name="Dynamic Filter Frequency" dataDxfId="2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7:B50" totalsRowShown="0">
  <autoFilter ref="A47:B5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bs.twimg.com/profile_images/1154453407144370177/ke6hZ2in_normal.jpg" TargetMode="External" /><Relationship Id="rId2" Type="http://schemas.openxmlformats.org/officeDocument/2006/relationships/hyperlink" Target="http://pbs.twimg.com/profile_images/1154453407144370177/ke6hZ2in_normal.jpg" TargetMode="External" /><Relationship Id="rId3" Type="http://schemas.openxmlformats.org/officeDocument/2006/relationships/hyperlink" Target="http://pbs.twimg.com/profile_images/1154453407144370177/ke6hZ2in_normal.jpg" TargetMode="External" /><Relationship Id="rId4" Type="http://schemas.openxmlformats.org/officeDocument/2006/relationships/hyperlink" Target="http://pbs.twimg.com/profile_images/1154453407144370177/ke6hZ2in_normal.jpg" TargetMode="External" /><Relationship Id="rId5" Type="http://schemas.openxmlformats.org/officeDocument/2006/relationships/hyperlink" Target="http://pbs.twimg.com/profile_images/1079374662763724801/tvIDz9T-_normal.jpg" TargetMode="External" /><Relationship Id="rId6" Type="http://schemas.openxmlformats.org/officeDocument/2006/relationships/hyperlink" Target="http://pbs.twimg.com/profile_images/1154453407144370177/ke6hZ2in_normal.jpg" TargetMode="External" /><Relationship Id="rId7" Type="http://schemas.openxmlformats.org/officeDocument/2006/relationships/hyperlink" Target="http://pbs.twimg.com/profile_images/1079374662763724801/tvIDz9T-_normal.jpg" TargetMode="External" /><Relationship Id="rId8" Type="http://schemas.openxmlformats.org/officeDocument/2006/relationships/hyperlink" Target="https://twitter.com/#!/koltaikolina/status/1191468084319539200" TargetMode="External" /><Relationship Id="rId9" Type="http://schemas.openxmlformats.org/officeDocument/2006/relationships/hyperlink" Target="https://twitter.com/#!/koltaikolina/status/1191468084319539200" TargetMode="External" /><Relationship Id="rId10" Type="http://schemas.openxmlformats.org/officeDocument/2006/relationships/hyperlink" Target="https://twitter.com/#!/koltaikolina/status/1191468084319539200" TargetMode="External" /><Relationship Id="rId11" Type="http://schemas.openxmlformats.org/officeDocument/2006/relationships/hyperlink" Target="https://twitter.com/#!/koltaikolina/status/1191468084319539200" TargetMode="External" /><Relationship Id="rId12" Type="http://schemas.openxmlformats.org/officeDocument/2006/relationships/hyperlink" Target="https://twitter.com/#!/saviaga/status/1191565779977814016" TargetMode="External" /><Relationship Id="rId13" Type="http://schemas.openxmlformats.org/officeDocument/2006/relationships/hyperlink" Target="https://twitter.com/#!/koltaikolina/status/1191468084319539200" TargetMode="External" /><Relationship Id="rId14" Type="http://schemas.openxmlformats.org/officeDocument/2006/relationships/hyperlink" Target="https://twitter.com/#!/saviaga/status/1191565779977814016" TargetMode="External" /><Relationship Id="rId15" Type="http://schemas.openxmlformats.org/officeDocument/2006/relationships/comments" Target="../comments1.xml" /><Relationship Id="rId16" Type="http://schemas.openxmlformats.org/officeDocument/2006/relationships/vmlDrawing" Target="../drawings/vmlDrawing1.vml" /><Relationship Id="rId17" Type="http://schemas.openxmlformats.org/officeDocument/2006/relationships/table" Target="../tables/table1.xml" /><Relationship Id="rId1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pbs.twimg.com/profile_images/1154453407144370177/ke6hZ2in_normal.jpg" TargetMode="External" /><Relationship Id="rId2" Type="http://schemas.openxmlformats.org/officeDocument/2006/relationships/hyperlink" Target="http://pbs.twimg.com/profile_images/1154453407144370177/ke6hZ2in_normal.jpg" TargetMode="External" /><Relationship Id="rId3" Type="http://schemas.openxmlformats.org/officeDocument/2006/relationships/hyperlink" Target="http://pbs.twimg.com/profile_images/1154453407144370177/ke6hZ2in_normal.jpg" TargetMode="External" /><Relationship Id="rId4" Type="http://schemas.openxmlformats.org/officeDocument/2006/relationships/hyperlink" Target="http://pbs.twimg.com/profile_images/1154453407144370177/ke6hZ2in_normal.jpg" TargetMode="External" /><Relationship Id="rId5" Type="http://schemas.openxmlformats.org/officeDocument/2006/relationships/hyperlink" Target="http://pbs.twimg.com/profile_images/1079374662763724801/tvIDz9T-_normal.jpg" TargetMode="External" /><Relationship Id="rId6" Type="http://schemas.openxmlformats.org/officeDocument/2006/relationships/hyperlink" Target="http://pbs.twimg.com/profile_images/1154453407144370177/ke6hZ2in_normal.jpg" TargetMode="External" /><Relationship Id="rId7" Type="http://schemas.openxmlformats.org/officeDocument/2006/relationships/hyperlink" Target="http://pbs.twimg.com/profile_images/1079374662763724801/tvIDz9T-_normal.jpg" TargetMode="External" /><Relationship Id="rId8" Type="http://schemas.openxmlformats.org/officeDocument/2006/relationships/hyperlink" Target="https://twitter.com/#!/koltaikolina/status/1191468084319539200" TargetMode="External" /><Relationship Id="rId9" Type="http://schemas.openxmlformats.org/officeDocument/2006/relationships/hyperlink" Target="https://twitter.com/#!/koltaikolina/status/1191468084319539200" TargetMode="External" /><Relationship Id="rId10" Type="http://schemas.openxmlformats.org/officeDocument/2006/relationships/hyperlink" Target="https://twitter.com/#!/koltaikolina/status/1191468084319539200" TargetMode="External" /><Relationship Id="rId11" Type="http://schemas.openxmlformats.org/officeDocument/2006/relationships/hyperlink" Target="https://twitter.com/#!/koltaikolina/status/1191468084319539200" TargetMode="External" /><Relationship Id="rId12" Type="http://schemas.openxmlformats.org/officeDocument/2006/relationships/hyperlink" Target="https://twitter.com/#!/saviaga/status/1191565779977814016" TargetMode="External" /><Relationship Id="rId13" Type="http://schemas.openxmlformats.org/officeDocument/2006/relationships/hyperlink" Target="https://twitter.com/#!/koltaikolina/status/1191468084319539200" TargetMode="External" /><Relationship Id="rId14" Type="http://schemas.openxmlformats.org/officeDocument/2006/relationships/hyperlink" Target="https://twitter.com/#!/saviaga/status/1191565779977814016" TargetMode="External" /><Relationship Id="rId15" Type="http://schemas.openxmlformats.org/officeDocument/2006/relationships/comments" Target="../comments13.xml" /><Relationship Id="rId16" Type="http://schemas.openxmlformats.org/officeDocument/2006/relationships/vmlDrawing" Target="../drawings/vmlDrawing6.vml" /><Relationship Id="rId17" Type="http://schemas.openxmlformats.org/officeDocument/2006/relationships/table" Target="../tables/table23.xml" /><Relationship Id="rId18"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i88DZt7LaQ" TargetMode="External" /><Relationship Id="rId2" Type="http://schemas.openxmlformats.org/officeDocument/2006/relationships/hyperlink" Target="http://t.co/By3A8hWwwZ" TargetMode="External" /><Relationship Id="rId3" Type="http://schemas.openxmlformats.org/officeDocument/2006/relationships/hyperlink" Target="http://www.theblackkeys.com/" TargetMode="External" /><Relationship Id="rId4" Type="http://schemas.openxmlformats.org/officeDocument/2006/relationships/hyperlink" Target="http://t.co/7GiSmB92Fw" TargetMode="External" /><Relationship Id="rId5" Type="http://schemas.openxmlformats.org/officeDocument/2006/relationships/hyperlink" Target="https://t.co/Y0GIkmE8MV" TargetMode="External" /><Relationship Id="rId6" Type="http://schemas.openxmlformats.org/officeDocument/2006/relationships/hyperlink" Target="https://pbs.twimg.com/profile_banners/770729895374708736/1558753244" TargetMode="External" /><Relationship Id="rId7" Type="http://schemas.openxmlformats.org/officeDocument/2006/relationships/hyperlink" Target="https://pbs.twimg.com/profile_banners/131003583/1422939982" TargetMode="External" /><Relationship Id="rId8" Type="http://schemas.openxmlformats.org/officeDocument/2006/relationships/hyperlink" Target="https://pbs.twimg.com/profile_banners/119875281/1396293089" TargetMode="External" /><Relationship Id="rId9" Type="http://schemas.openxmlformats.org/officeDocument/2006/relationships/hyperlink" Target="https://pbs.twimg.com/profile_banners/91526478/1482045108" TargetMode="External" /><Relationship Id="rId10" Type="http://schemas.openxmlformats.org/officeDocument/2006/relationships/hyperlink" Target="https://pbs.twimg.com/profile_banners/17159147/1376327969" TargetMode="External" /><Relationship Id="rId11" Type="http://schemas.openxmlformats.org/officeDocument/2006/relationships/hyperlink" Target="https://pbs.twimg.com/profile_banners/121881387/1428812985"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pbs.twimg.com/profile_background_images/450712276421472256/o3KTGePi.png"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10/bg.gif" TargetMode="External" /><Relationship Id="rId18" Type="http://schemas.openxmlformats.org/officeDocument/2006/relationships/hyperlink" Target="http://pbs.twimg.com/profile_images/1154453407144370177/ke6hZ2in_normal.jpg" TargetMode="External" /><Relationship Id="rId19" Type="http://schemas.openxmlformats.org/officeDocument/2006/relationships/hyperlink" Target="http://pbs.twimg.com/profile_images/544945516547551232/wgyeoQFc_normal.jpeg" TargetMode="External" /><Relationship Id="rId20" Type="http://schemas.openxmlformats.org/officeDocument/2006/relationships/hyperlink" Target="http://pbs.twimg.com/profile_images/448187550084001792/J7_bm7JV_normal.png" TargetMode="External" /><Relationship Id="rId21" Type="http://schemas.openxmlformats.org/officeDocument/2006/relationships/hyperlink" Target="http://pbs.twimg.com/profile_images/483139257008017408/vhUoshjo_normal.jpeg" TargetMode="External" /><Relationship Id="rId22" Type="http://schemas.openxmlformats.org/officeDocument/2006/relationships/hyperlink" Target="http://pbs.twimg.com/profile_images/656934081385500673/J5wHhpfP_normal.jpg" TargetMode="External" /><Relationship Id="rId23" Type="http://schemas.openxmlformats.org/officeDocument/2006/relationships/hyperlink" Target="http://pbs.twimg.com/profile_images/1079374662763724801/tvIDz9T-_normal.jpg" TargetMode="External" /><Relationship Id="rId24" Type="http://schemas.openxmlformats.org/officeDocument/2006/relationships/hyperlink" Target="https://twitter.com/koltaikolina" TargetMode="External" /><Relationship Id="rId25" Type="http://schemas.openxmlformats.org/officeDocument/2006/relationships/hyperlink" Target="https://twitter.com/modestmouseband" TargetMode="External" /><Relationship Id="rId26" Type="http://schemas.openxmlformats.org/officeDocument/2006/relationships/hyperlink" Target="https://twitter.com/theblackkeys" TargetMode="External" /><Relationship Id="rId27" Type="http://schemas.openxmlformats.org/officeDocument/2006/relationships/hyperlink" Target="https://twitter.com/meganmrim" TargetMode="External" /><Relationship Id="rId28" Type="http://schemas.openxmlformats.org/officeDocument/2006/relationships/hyperlink" Target="https://twitter.com/utischool" TargetMode="External" /><Relationship Id="rId29" Type="http://schemas.openxmlformats.org/officeDocument/2006/relationships/hyperlink" Target="https://twitter.com/saviaga" TargetMode="External" /><Relationship Id="rId30" Type="http://schemas.openxmlformats.org/officeDocument/2006/relationships/comments" Target="../comments2.xml" /><Relationship Id="rId31" Type="http://schemas.openxmlformats.org/officeDocument/2006/relationships/vmlDrawing" Target="../drawings/vmlDrawing2.vml" /><Relationship Id="rId32" Type="http://schemas.openxmlformats.org/officeDocument/2006/relationships/table" Target="../tables/table2.xml" /><Relationship Id="rId3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341</v>
      </c>
      <c r="BB2" s="13" t="s">
        <v>347</v>
      </c>
      <c r="BC2" s="13" t="s">
        <v>348</v>
      </c>
      <c r="BD2" s="67" t="s">
        <v>451</v>
      </c>
      <c r="BE2" s="67" t="s">
        <v>452</v>
      </c>
      <c r="BF2" s="67" t="s">
        <v>453</v>
      </c>
      <c r="BG2" s="67" t="s">
        <v>454</v>
      </c>
      <c r="BH2" s="67" t="s">
        <v>455</v>
      </c>
      <c r="BI2" s="67" t="s">
        <v>456</v>
      </c>
      <c r="BJ2" s="67" t="s">
        <v>457</v>
      </c>
      <c r="BK2" s="67" t="s">
        <v>458</v>
      </c>
      <c r="BL2" s="67" t="s">
        <v>459</v>
      </c>
    </row>
    <row r="3" spans="1:64" ht="15" customHeight="1">
      <c r="A3" s="84" t="s">
        <v>212</v>
      </c>
      <c r="B3" s="84" t="s">
        <v>214</v>
      </c>
      <c r="C3" s="53" t="s">
        <v>499</v>
      </c>
      <c r="D3" s="54">
        <v>3</v>
      </c>
      <c r="E3" s="65" t="s">
        <v>132</v>
      </c>
      <c r="F3" s="55">
        <v>35</v>
      </c>
      <c r="G3" s="53"/>
      <c r="H3" s="57"/>
      <c r="I3" s="56"/>
      <c r="J3" s="56"/>
      <c r="K3" s="36" t="s">
        <v>65</v>
      </c>
      <c r="L3" s="62">
        <v>3</v>
      </c>
      <c r="M3" s="62"/>
      <c r="N3" s="63"/>
      <c r="O3" s="85" t="s">
        <v>218</v>
      </c>
      <c r="P3" s="87">
        <v>43773.89701388889</v>
      </c>
      <c r="Q3" s="85" t="s">
        <v>219</v>
      </c>
      <c r="R3" s="85"/>
      <c r="S3" s="85"/>
      <c r="T3" s="85" t="s">
        <v>221</v>
      </c>
      <c r="U3" s="85"/>
      <c r="V3" s="89" t="s">
        <v>223</v>
      </c>
      <c r="W3" s="87">
        <v>43773.89701388889</v>
      </c>
      <c r="X3" s="89" t="s">
        <v>225</v>
      </c>
      <c r="Y3" s="85"/>
      <c r="Z3" s="85"/>
      <c r="AA3" s="91" t="s">
        <v>227</v>
      </c>
      <c r="AB3" s="85"/>
      <c r="AC3" s="85" t="b">
        <v>0</v>
      </c>
      <c r="AD3" s="85">
        <v>12</v>
      </c>
      <c r="AE3" s="91" t="s">
        <v>229</v>
      </c>
      <c r="AF3" s="85" t="b">
        <v>0</v>
      </c>
      <c r="AG3" s="85" t="s">
        <v>230</v>
      </c>
      <c r="AH3" s="85"/>
      <c r="AI3" s="91" t="s">
        <v>229</v>
      </c>
      <c r="AJ3" s="85" t="b">
        <v>0</v>
      </c>
      <c r="AK3" s="85">
        <v>1</v>
      </c>
      <c r="AL3" s="91" t="s">
        <v>229</v>
      </c>
      <c r="AM3" s="85" t="s">
        <v>231</v>
      </c>
      <c r="AN3" s="85" t="b">
        <v>0</v>
      </c>
      <c r="AO3" s="91" t="s">
        <v>227</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c r="BE3" s="52"/>
      <c r="BF3" s="51"/>
      <c r="BG3" s="52"/>
      <c r="BH3" s="51"/>
      <c r="BI3" s="52"/>
      <c r="BJ3" s="51"/>
      <c r="BK3" s="52"/>
      <c r="BL3" s="51"/>
    </row>
    <row r="4" spans="1:64" ht="15" customHeight="1">
      <c r="A4" s="84" t="s">
        <v>212</v>
      </c>
      <c r="B4" s="84" t="s">
        <v>215</v>
      </c>
      <c r="C4" s="53" t="s">
        <v>499</v>
      </c>
      <c r="D4" s="54">
        <v>3</v>
      </c>
      <c r="E4" s="65" t="s">
        <v>132</v>
      </c>
      <c r="F4" s="55">
        <v>35</v>
      </c>
      <c r="G4" s="53"/>
      <c r="H4" s="57"/>
      <c r="I4" s="56"/>
      <c r="J4" s="56"/>
      <c r="K4" s="36" t="s">
        <v>65</v>
      </c>
      <c r="L4" s="83">
        <v>4</v>
      </c>
      <c r="M4" s="83"/>
      <c r="N4" s="63"/>
      <c r="O4" s="86" t="s">
        <v>218</v>
      </c>
      <c r="P4" s="88">
        <v>43773.89701388889</v>
      </c>
      <c r="Q4" s="86" t="s">
        <v>219</v>
      </c>
      <c r="R4" s="86"/>
      <c r="S4" s="86"/>
      <c r="T4" s="86" t="s">
        <v>221</v>
      </c>
      <c r="U4" s="86"/>
      <c r="V4" s="90" t="s">
        <v>223</v>
      </c>
      <c r="W4" s="88">
        <v>43773.89701388889</v>
      </c>
      <c r="X4" s="90" t="s">
        <v>225</v>
      </c>
      <c r="Y4" s="86"/>
      <c r="Z4" s="86"/>
      <c r="AA4" s="92" t="s">
        <v>227</v>
      </c>
      <c r="AB4" s="86"/>
      <c r="AC4" s="86" t="b">
        <v>0</v>
      </c>
      <c r="AD4" s="86">
        <v>12</v>
      </c>
      <c r="AE4" s="92" t="s">
        <v>229</v>
      </c>
      <c r="AF4" s="86" t="b">
        <v>0</v>
      </c>
      <c r="AG4" s="86" t="s">
        <v>230</v>
      </c>
      <c r="AH4" s="86"/>
      <c r="AI4" s="92" t="s">
        <v>229</v>
      </c>
      <c r="AJ4" s="86" t="b">
        <v>0</v>
      </c>
      <c r="AK4" s="86">
        <v>1</v>
      </c>
      <c r="AL4" s="92" t="s">
        <v>229</v>
      </c>
      <c r="AM4" s="86" t="s">
        <v>231</v>
      </c>
      <c r="AN4" s="86" t="b">
        <v>0</v>
      </c>
      <c r="AO4" s="92" t="s">
        <v>227</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c r="BE4" s="52"/>
      <c r="BF4" s="51"/>
      <c r="BG4" s="52"/>
      <c r="BH4" s="51"/>
      <c r="BI4" s="52"/>
      <c r="BJ4" s="51"/>
      <c r="BK4" s="52"/>
      <c r="BL4" s="51"/>
    </row>
    <row r="5" spans="1:64" ht="45">
      <c r="A5" s="84" t="s">
        <v>212</v>
      </c>
      <c r="B5" s="84" t="s">
        <v>216</v>
      </c>
      <c r="C5" s="53" t="s">
        <v>499</v>
      </c>
      <c r="D5" s="54">
        <v>3</v>
      </c>
      <c r="E5" s="65" t="s">
        <v>132</v>
      </c>
      <c r="F5" s="55">
        <v>35</v>
      </c>
      <c r="G5" s="53"/>
      <c r="H5" s="57"/>
      <c r="I5" s="56"/>
      <c r="J5" s="56"/>
      <c r="K5" s="36" t="s">
        <v>65</v>
      </c>
      <c r="L5" s="83">
        <v>5</v>
      </c>
      <c r="M5" s="83"/>
      <c r="N5" s="63"/>
      <c r="O5" s="86" t="s">
        <v>218</v>
      </c>
      <c r="P5" s="88">
        <v>43773.89701388889</v>
      </c>
      <c r="Q5" s="86" t="s">
        <v>219</v>
      </c>
      <c r="R5" s="86"/>
      <c r="S5" s="86"/>
      <c r="T5" s="86" t="s">
        <v>221</v>
      </c>
      <c r="U5" s="86"/>
      <c r="V5" s="90" t="s">
        <v>223</v>
      </c>
      <c r="W5" s="88">
        <v>43773.89701388889</v>
      </c>
      <c r="X5" s="90" t="s">
        <v>225</v>
      </c>
      <c r="Y5" s="86"/>
      <c r="Z5" s="86"/>
      <c r="AA5" s="92" t="s">
        <v>227</v>
      </c>
      <c r="AB5" s="86"/>
      <c r="AC5" s="86" t="b">
        <v>0</v>
      </c>
      <c r="AD5" s="86">
        <v>12</v>
      </c>
      <c r="AE5" s="92" t="s">
        <v>229</v>
      </c>
      <c r="AF5" s="86" t="b">
        <v>0</v>
      </c>
      <c r="AG5" s="86" t="s">
        <v>230</v>
      </c>
      <c r="AH5" s="86"/>
      <c r="AI5" s="92" t="s">
        <v>229</v>
      </c>
      <c r="AJ5" s="86" t="b">
        <v>0</v>
      </c>
      <c r="AK5" s="86">
        <v>1</v>
      </c>
      <c r="AL5" s="92" t="s">
        <v>229</v>
      </c>
      <c r="AM5" s="86" t="s">
        <v>231</v>
      </c>
      <c r="AN5" s="86" t="b">
        <v>0</v>
      </c>
      <c r="AO5" s="92" t="s">
        <v>227</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45">
      <c r="A6" s="84" t="s">
        <v>212</v>
      </c>
      <c r="B6" s="84" t="s">
        <v>217</v>
      </c>
      <c r="C6" s="53" t="s">
        <v>499</v>
      </c>
      <c r="D6" s="54">
        <v>3</v>
      </c>
      <c r="E6" s="65" t="s">
        <v>132</v>
      </c>
      <c r="F6" s="55">
        <v>35</v>
      </c>
      <c r="G6" s="53"/>
      <c r="H6" s="57"/>
      <c r="I6" s="56"/>
      <c r="J6" s="56"/>
      <c r="K6" s="36" t="s">
        <v>65</v>
      </c>
      <c r="L6" s="83">
        <v>6</v>
      </c>
      <c r="M6" s="83"/>
      <c r="N6" s="63"/>
      <c r="O6" s="86" t="s">
        <v>218</v>
      </c>
      <c r="P6" s="88">
        <v>43773.89701388889</v>
      </c>
      <c r="Q6" s="86" t="s">
        <v>219</v>
      </c>
      <c r="R6" s="86"/>
      <c r="S6" s="86"/>
      <c r="T6" s="86" t="s">
        <v>221</v>
      </c>
      <c r="U6" s="86"/>
      <c r="V6" s="90" t="s">
        <v>223</v>
      </c>
      <c r="W6" s="88">
        <v>43773.89701388889</v>
      </c>
      <c r="X6" s="90" t="s">
        <v>225</v>
      </c>
      <c r="Y6" s="86"/>
      <c r="Z6" s="86"/>
      <c r="AA6" s="92" t="s">
        <v>227</v>
      </c>
      <c r="AB6" s="86"/>
      <c r="AC6" s="86" t="b">
        <v>0</v>
      </c>
      <c r="AD6" s="86">
        <v>12</v>
      </c>
      <c r="AE6" s="92" t="s">
        <v>229</v>
      </c>
      <c r="AF6" s="86" t="b">
        <v>0</v>
      </c>
      <c r="AG6" s="86" t="s">
        <v>230</v>
      </c>
      <c r="AH6" s="86"/>
      <c r="AI6" s="92" t="s">
        <v>229</v>
      </c>
      <c r="AJ6" s="86" t="b">
        <v>0</v>
      </c>
      <c r="AK6" s="86">
        <v>1</v>
      </c>
      <c r="AL6" s="92" t="s">
        <v>229</v>
      </c>
      <c r="AM6" s="86" t="s">
        <v>231</v>
      </c>
      <c r="AN6" s="86" t="b">
        <v>0</v>
      </c>
      <c r="AO6" s="92" t="s">
        <v>227</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2</v>
      </c>
      <c r="BD6" s="51"/>
      <c r="BE6" s="52"/>
      <c r="BF6" s="51"/>
      <c r="BG6" s="52"/>
      <c r="BH6" s="51"/>
      <c r="BI6" s="52"/>
      <c r="BJ6" s="51"/>
      <c r="BK6" s="52"/>
      <c r="BL6" s="51"/>
    </row>
    <row r="7" spans="1:64" ht="45">
      <c r="A7" s="84" t="s">
        <v>213</v>
      </c>
      <c r="B7" s="84" t="s">
        <v>217</v>
      </c>
      <c r="C7" s="53" t="s">
        <v>499</v>
      </c>
      <c r="D7" s="54">
        <v>3</v>
      </c>
      <c r="E7" s="65" t="s">
        <v>132</v>
      </c>
      <c r="F7" s="55">
        <v>35</v>
      </c>
      <c r="G7" s="53"/>
      <c r="H7" s="57"/>
      <c r="I7" s="56"/>
      <c r="J7" s="56"/>
      <c r="K7" s="36" t="s">
        <v>65</v>
      </c>
      <c r="L7" s="83">
        <v>7</v>
      </c>
      <c r="M7" s="83"/>
      <c r="N7" s="63"/>
      <c r="O7" s="86" t="s">
        <v>218</v>
      </c>
      <c r="P7" s="88">
        <v>43774.166597222225</v>
      </c>
      <c r="Q7" s="86" t="s">
        <v>220</v>
      </c>
      <c r="R7" s="86"/>
      <c r="S7" s="86"/>
      <c r="T7" s="86" t="s">
        <v>222</v>
      </c>
      <c r="U7" s="86"/>
      <c r="V7" s="90" t="s">
        <v>224</v>
      </c>
      <c r="W7" s="88">
        <v>43774.166597222225</v>
      </c>
      <c r="X7" s="90" t="s">
        <v>226</v>
      </c>
      <c r="Y7" s="86"/>
      <c r="Z7" s="86"/>
      <c r="AA7" s="92" t="s">
        <v>228</v>
      </c>
      <c r="AB7" s="86"/>
      <c r="AC7" s="86" t="b">
        <v>0</v>
      </c>
      <c r="AD7" s="86">
        <v>0</v>
      </c>
      <c r="AE7" s="92" t="s">
        <v>229</v>
      </c>
      <c r="AF7" s="86" t="b">
        <v>0</v>
      </c>
      <c r="AG7" s="86" t="s">
        <v>230</v>
      </c>
      <c r="AH7" s="86"/>
      <c r="AI7" s="92" t="s">
        <v>229</v>
      </c>
      <c r="AJ7" s="86" t="b">
        <v>0</v>
      </c>
      <c r="AK7" s="86">
        <v>1</v>
      </c>
      <c r="AL7" s="92" t="s">
        <v>227</v>
      </c>
      <c r="AM7" s="86" t="s">
        <v>232</v>
      </c>
      <c r="AN7" s="86" t="b">
        <v>0</v>
      </c>
      <c r="AO7" s="92" t="s">
        <v>227</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c r="BE7" s="52"/>
      <c r="BF7" s="51"/>
      <c r="BG7" s="52"/>
      <c r="BH7" s="51"/>
      <c r="BI7" s="52"/>
      <c r="BJ7" s="51"/>
      <c r="BK7" s="52"/>
      <c r="BL7" s="51"/>
    </row>
    <row r="8" spans="1:64" ht="45">
      <c r="A8" s="84" t="s">
        <v>212</v>
      </c>
      <c r="B8" s="84" t="s">
        <v>213</v>
      </c>
      <c r="C8" s="53" t="s">
        <v>499</v>
      </c>
      <c r="D8" s="54">
        <v>3</v>
      </c>
      <c r="E8" s="65" t="s">
        <v>132</v>
      </c>
      <c r="F8" s="55">
        <v>35</v>
      </c>
      <c r="G8" s="53"/>
      <c r="H8" s="57"/>
      <c r="I8" s="56"/>
      <c r="J8" s="56"/>
      <c r="K8" s="36" t="s">
        <v>66</v>
      </c>
      <c r="L8" s="83">
        <v>8</v>
      </c>
      <c r="M8" s="83"/>
      <c r="N8" s="63"/>
      <c r="O8" s="86" t="s">
        <v>218</v>
      </c>
      <c r="P8" s="88">
        <v>43773.89701388889</v>
      </c>
      <c r="Q8" s="86" t="s">
        <v>219</v>
      </c>
      <c r="R8" s="86"/>
      <c r="S8" s="86"/>
      <c r="T8" s="86" t="s">
        <v>221</v>
      </c>
      <c r="U8" s="86"/>
      <c r="V8" s="90" t="s">
        <v>223</v>
      </c>
      <c r="W8" s="88">
        <v>43773.89701388889</v>
      </c>
      <c r="X8" s="90" t="s">
        <v>225</v>
      </c>
      <c r="Y8" s="86"/>
      <c r="Z8" s="86"/>
      <c r="AA8" s="92" t="s">
        <v>227</v>
      </c>
      <c r="AB8" s="86"/>
      <c r="AC8" s="86" t="b">
        <v>0</v>
      </c>
      <c r="AD8" s="86">
        <v>12</v>
      </c>
      <c r="AE8" s="92" t="s">
        <v>229</v>
      </c>
      <c r="AF8" s="86" t="b">
        <v>0</v>
      </c>
      <c r="AG8" s="86" t="s">
        <v>230</v>
      </c>
      <c r="AH8" s="86"/>
      <c r="AI8" s="92" t="s">
        <v>229</v>
      </c>
      <c r="AJ8" s="86" t="b">
        <v>0</v>
      </c>
      <c r="AK8" s="86">
        <v>1</v>
      </c>
      <c r="AL8" s="92" t="s">
        <v>229</v>
      </c>
      <c r="AM8" s="86" t="s">
        <v>231</v>
      </c>
      <c r="AN8" s="86" t="b">
        <v>0</v>
      </c>
      <c r="AO8" s="92" t="s">
        <v>227</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2</v>
      </c>
      <c r="BD8" s="51">
        <v>1</v>
      </c>
      <c r="BE8" s="52">
        <v>2.2222222222222223</v>
      </c>
      <c r="BF8" s="51">
        <v>0</v>
      </c>
      <c r="BG8" s="52">
        <v>0</v>
      </c>
      <c r="BH8" s="51">
        <v>0</v>
      </c>
      <c r="BI8" s="52">
        <v>0</v>
      </c>
      <c r="BJ8" s="51">
        <v>44</v>
      </c>
      <c r="BK8" s="52">
        <v>97.77777777777777</v>
      </c>
      <c r="BL8" s="51">
        <v>45</v>
      </c>
    </row>
    <row r="9" spans="1:64" ht="45">
      <c r="A9" s="84" t="s">
        <v>213</v>
      </c>
      <c r="B9" s="84" t="s">
        <v>212</v>
      </c>
      <c r="C9" s="53" t="s">
        <v>499</v>
      </c>
      <c r="D9" s="54">
        <v>3</v>
      </c>
      <c r="E9" s="65" t="s">
        <v>132</v>
      </c>
      <c r="F9" s="55">
        <v>35</v>
      </c>
      <c r="G9" s="53"/>
      <c r="H9" s="57"/>
      <c r="I9" s="56"/>
      <c r="J9" s="56"/>
      <c r="K9" s="36" t="s">
        <v>66</v>
      </c>
      <c r="L9" s="83">
        <v>9</v>
      </c>
      <c r="M9" s="83"/>
      <c r="N9" s="63"/>
      <c r="O9" s="86" t="s">
        <v>218</v>
      </c>
      <c r="P9" s="88">
        <v>43774.166597222225</v>
      </c>
      <c r="Q9" s="86" t="s">
        <v>220</v>
      </c>
      <c r="R9" s="86"/>
      <c r="S9" s="86"/>
      <c r="T9" s="86" t="s">
        <v>222</v>
      </c>
      <c r="U9" s="86"/>
      <c r="V9" s="90" t="s">
        <v>224</v>
      </c>
      <c r="W9" s="88">
        <v>43774.166597222225</v>
      </c>
      <c r="X9" s="90" t="s">
        <v>226</v>
      </c>
      <c r="Y9" s="86"/>
      <c r="Z9" s="86"/>
      <c r="AA9" s="92" t="s">
        <v>228</v>
      </c>
      <c r="AB9" s="86"/>
      <c r="AC9" s="86" t="b">
        <v>0</v>
      </c>
      <c r="AD9" s="86">
        <v>0</v>
      </c>
      <c r="AE9" s="92" t="s">
        <v>229</v>
      </c>
      <c r="AF9" s="86" t="b">
        <v>0</v>
      </c>
      <c r="AG9" s="86" t="s">
        <v>230</v>
      </c>
      <c r="AH9" s="86"/>
      <c r="AI9" s="92" t="s">
        <v>229</v>
      </c>
      <c r="AJ9" s="86" t="b">
        <v>0</v>
      </c>
      <c r="AK9" s="86">
        <v>1</v>
      </c>
      <c r="AL9" s="92" t="s">
        <v>227</v>
      </c>
      <c r="AM9" s="86" t="s">
        <v>232</v>
      </c>
      <c r="AN9" s="86" t="b">
        <v>0</v>
      </c>
      <c r="AO9" s="92" t="s">
        <v>227</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1</v>
      </c>
      <c r="BD9" s="51">
        <v>1</v>
      </c>
      <c r="BE9" s="52">
        <v>4.166666666666667</v>
      </c>
      <c r="BF9" s="51">
        <v>0</v>
      </c>
      <c r="BG9" s="52">
        <v>0</v>
      </c>
      <c r="BH9" s="51">
        <v>0</v>
      </c>
      <c r="BI9" s="52">
        <v>0</v>
      </c>
      <c r="BJ9" s="51">
        <v>23</v>
      </c>
      <c r="BK9" s="52">
        <v>95.83333333333333</v>
      </c>
      <c r="BL9" s="51">
        <v>24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hyperlinks>
    <hyperlink ref="V3" r:id="rId1" display="http://pbs.twimg.com/profile_images/1154453407144370177/ke6hZ2in_normal.jpg"/>
    <hyperlink ref="V4" r:id="rId2" display="http://pbs.twimg.com/profile_images/1154453407144370177/ke6hZ2in_normal.jpg"/>
    <hyperlink ref="V5" r:id="rId3" display="http://pbs.twimg.com/profile_images/1154453407144370177/ke6hZ2in_normal.jpg"/>
    <hyperlink ref="V6" r:id="rId4" display="http://pbs.twimg.com/profile_images/1154453407144370177/ke6hZ2in_normal.jpg"/>
    <hyperlink ref="V7" r:id="rId5" display="http://pbs.twimg.com/profile_images/1079374662763724801/tvIDz9T-_normal.jpg"/>
    <hyperlink ref="V8" r:id="rId6" display="http://pbs.twimg.com/profile_images/1154453407144370177/ke6hZ2in_normal.jpg"/>
    <hyperlink ref="V9" r:id="rId7" display="http://pbs.twimg.com/profile_images/1079374662763724801/tvIDz9T-_normal.jpg"/>
    <hyperlink ref="X3" r:id="rId8" display="https://twitter.com/#!/koltaikolina/status/1191468084319539200"/>
    <hyperlink ref="X4" r:id="rId9" display="https://twitter.com/#!/koltaikolina/status/1191468084319539200"/>
    <hyperlink ref="X5" r:id="rId10" display="https://twitter.com/#!/koltaikolina/status/1191468084319539200"/>
    <hyperlink ref="X6" r:id="rId11" display="https://twitter.com/#!/koltaikolina/status/1191468084319539200"/>
    <hyperlink ref="X7" r:id="rId12" display="https://twitter.com/#!/saviaga/status/1191565779977814016"/>
    <hyperlink ref="X8" r:id="rId13" display="https://twitter.com/#!/koltaikolina/status/1191468084319539200"/>
    <hyperlink ref="X9" r:id="rId14" display="https://twitter.com/#!/saviaga/status/1191565779977814016"/>
  </hyperlinks>
  <printOptions/>
  <pageMargins left="0.7" right="0.7" top="0.75" bottom="0.75" header="0.3" footer="0.3"/>
  <pageSetup horizontalDpi="600" verticalDpi="600" orientation="portrait" r:id="rId18"/>
  <legacyDrawing r:id="rId16"/>
  <tableParts>
    <tablePart r:id="rId1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442</v>
      </c>
      <c r="B1" s="13" t="s">
        <v>443</v>
      </c>
      <c r="C1" s="13" t="s">
        <v>436</v>
      </c>
      <c r="D1" s="13" t="s">
        <v>437</v>
      </c>
      <c r="E1" s="13" t="s">
        <v>444</v>
      </c>
      <c r="F1" s="13" t="s">
        <v>144</v>
      </c>
      <c r="G1" s="13" t="s">
        <v>445</v>
      </c>
      <c r="H1" s="13" t="s">
        <v>446</v>
      </c>
      <c r="I1" s="13" t="s">
        <v>447</v>
      </c>
      <c r="J1" s="13" t="s">
        <v>448</v>
      </c>
      <c r="K1" s="13" t="s">
        <v>449</v>
      </c>
      <c r="L1" s="13" t="s">
        <v>450</v>
      </c>
    </row>
    <row r="2" spans="1:12" ht="15">
      <c r="A2" s="91" t="s">
        <v>375</v>
      </c>
      <c r="B2" s="91" t="s">
        <v>376</v>
      </c>
      <c r="C2" s="91">
        <v>2</v>
      </c>
      <c r="D2" s="130">
        <v>0</v>
      </c>
      <c r="E2" s="130">
        <v>1.3117538610557542</v>
      </c>
      <c r="F2" s="91" t="s">
        <v>438</v>
      </c>
      <c r="G2" s="91" t="b">
        <v>0</v>
      </c>
      <c r="H2" s="91" t="b">
        <v>0</v>
      </c>
      <c r="I2" s="91" t="b">
        <v>0</v>
      </c>
      <c r="J2" s="91" t="b">
        <v>0</v>
      </c>
      <c r="K2" s="91" t="b">
        <v>0</v>
      </c>
      <c r="L2" s="91" t="b">
        <v>0</v>
      </c>
    </row>
    <row r="3" spans="1:12" ht="15">
      <c r="A3" s="91" t="s">
        <v>376</v>
      </c>
      <c r="B3" s="91" t="s">
        <v>377</v>
      </c>
      <c r="C3" s="91">
        <v>2</v>
      </c>
      <c r="D3" s="130">
        <v>0</v>
      </c>
      <c r="E3" s="130">
        <v>1.3117538610557542</v>
      </c>
      <c r="F3" s="91" t="s">
        <v>438</v>
      </c>
      <c r="G3" s="91" t="b">
        <v>0</v>
      </c>
      <c r="H3" s="91" t="b">
        <v>0</v>
      </c>
      <c r="I3" s="91" t="b">
        <v>0</v>
      </c>
      <c r="J3" s="91" t="b">
        <v>0</v>
      </c>
      <c r="K3" s="91" t="b">
        <v>0</v>
      </c>
      <c r="L3" s="91" t="b">
        <v>0</v>
      </c>
    </row>
    <row r="4" spans="1:12" ht="15">
      <c r="A4" s="91" t="s">
        <v>377</v>
      </c>
      <c r="B4" s="91" t="s">
        <v>378</v>
      </c>
      <c r="C4" s="91">
        <v>2</v>
      </c>
      <c r="D4" s="130">
        <v>0</v>
      </c>
      <c r="E4" s="130">
        <v>1.3117538610557542</v>
      </c>
      <c r="F4" s="91" t="s">
        <v>438</v>
      </c>
      <c r="G4" s="91" t="b">
        <v>0</v>
      </c>
      <c r="H4" s="91" t="b">
        <v>0</v>
      </c>
      <c r="I4" s="91" t="b">
        <v>0</v>
      </c>
      <c r="J4" s="91" t="b">
        <v>0</v>
      </c>
      <c r="K4" s="91" t="b">
        <v>0</v>
      </c>
      <c r="L4" s="91" t="b">
        <v>0</v>
      </c>
    </row>
    <row r="5" spans="1:12" ht="15">
      <c r="A5" s="91" t="s">
        <v>378</v>
      </c>
      <c r="B5" s="91" t="s">
        <v>430</v>
      </c>
      <c r="C5" s="91">
        <v>2</v>
      </c>
      <c r="D5" s="130">
        <v>0</v>
      </c>
      <c r="E5" s="130">
        <v>1.3117538610557542</v>
      </c>
      <c r="F5" s="91" t="s">
        <v>438</v>
      </c>
      <c r="G5" s="91" t="b">
        <v>0</v>
      </c>
      <c r="H5" s="91" t="b">
        <v>0</v>
      </c>
      <c r="I5" s="91" t="b">
        <v>0</v>
      </c>
      <c r="J5" s="91" t="b">
        <v>0</v>
      </c>
      <c r="K5" s="91" t="b">
        <v>0</v>
      </c>
      <c r="L5" s="91" t="b">
        <v>0</v>
      </c>
    </row>
    <row r="6" spans="1:12" ht="15">
      <c r="A6" s="91" t="s">
        <v>430</v>
      </c>
      <c r="B6" s="91" t="s">
        <v>431</v>
      </c>
      <c r="C6" s="91">
        <v>2</v>
      </c>
      <c r="D6" s="130">
        <v>0</v>
      </c>
      <c r="E6" s="130">
        <v>1.3117538610557542</v>
      </c>
      <c r="F6" s="91" t="s">
        <v>438</v>
      </c>
      <c r="G6" s="91" t="b">
        <v>0</v>
      </c>
      <c r="H6" s="91" t="b">
        <v>0</v>
      </c>
      <c r="I6" s="91" t="b">
        <v>0</v>
      </c>
      <c r="J6" s="91" t="b">
        <v>0</v>
      </c>
      <c r="K6" s="91" t="b">
        <v>0</v>
      </c>
      <c r="L6" s="91" t="b">
        <v>0</v>
      </c>
    </row>
    <row r="7" spans="1:12" ht="15">
      <c r="A7" s="91" t="s">
        <v>431</v>
      </c>
      <c r="B7" s="91" t="s">
        <v>432</v>
      </c>
      <c r="C7" s="91">
        <v>2</v>
      </c>
      <c r="D7" s="130">
        <v>0</v>
      </c>
      <c r="E7" s="130">
        <v>1.3117538610557542</v>
      </c>
      <c r="F7" s="91" t="s">
        <v>438</v>
      </c>
      <c r="G7" s="91" t="b">
        <v>0</v>
      </c>
      <c r="H7" s="91" t="b">
        <v>0</v>
      </c>
      <c r="I7" s="91" t="b">
        <v>0</v>
      </c>
      <c r="J7" s="91" t="b">
        <v>0</v>
      </c>
      <c r="K7" s="91" t="b">
        <v>0</v>
      </c>
      <c r="L7" s="91" t="b">
        <v>0</v>
      </c>
    </row>
    <row r="8" spans="1:12" ht="15">
      <c r="A8" s="91" t="s">
        <v>432</v>
      </c>
      <c r="B8" s="91" t="s">
        <v>433</v>
      </c>
      <c r="C8" s="91">
        <v>2</v>
      </c>
      <c r="D8" s="130">
        <v>0</v>
      </c>
      <c r="E8" s="130">
        <v>1.3117538610557542</v>
      </c>
      <c r="F8" s="91" t="s">
        <v>438</v>
      </c>
      <c r="G8" s="91" t="b">
        <v>0</v>
      </c>
      <c r="H8" s="91" t="b">
        <v>0</v>
      </c>
      <c r="I8" s="91" t="b">
        <v>0</v>
      </c>
      <c r="J8" s="91" t="b">
        <v>1</v>
      </c>
      <c r="K8" s="91" t="b">
        <v>0</v>
      </c>
      <c r="L8" s="91" t="b">
        <v>0</v>
      </c>
    </row>
    <row r="9" spans="1:12" ht="15">
      <c r="A9" s="91" t="s">
        <v>433</v>
      </c>
      <c r="B9" s="91" t="s">
        <v>434</v>
      </c>
      <c r="C9" s="91">
        <v>2</v>
      </c>
      <c r="D9" s="130">
        <v>0</v>
      </c>
      <c r="E9" s="130">
        <v>1.3117538610557542</v>
      </c>
      <c r="F9" s="91" t="s">
        <v>438</v>
      </c>
      <c r="G9" s="91" t="b">
        <v>1</v>
      </c>
      <c r="H9" s="91" t="b">
        <v>0</v>
      </c>
      <c r="I9" s="91" t="b">
        <v>0</v>
      </c>
      <c r="J9" s="91" t="b">
        <v>0</v>
      </c>
      <c r="K9" s="91" t="b">
        <v>0</v>
      </c>
      <c r="L9" s="91" t="b">
        <v>0</v>
      </c>
    </row>
    <row r="10" spans="1:12" ht="15">
      <c r="A10" s="91" t="s">
        <v>434</v>
      </c>
      <c r="B10" s="91" t="s">
        <v>435</v>
      </c>
      <c r="C10" s="91">
        <v>2</v>
      </c>
      <c r="D10" s="130">
        <v>0</v>
      </c>
      <c r="E10" s="130">
        <v>1.3117538610557542</v>
      </c>
      <c r="F10" s="91" t="s">
        <v>438</v>
      </c>
      <c r="G10" s="91" t="b">
        <v>0</v>
      </c>
      <c r="H10" s="91" t="b">
        <v>0</v>
      </c>
      <c r="I10" s="91" t="b">
        <v>0</v>
      </c>
      <c r="J10" s="91" t="b">
        <v>0</v>
      </c>
      <c r="K10" s="91" t="b">
        <v>0</v>
      </c>
      <c r="L10" s="91" t="b">
        <v>0</v>
      </c>
    </row>
    <row r="11" spans="1:12" ht="15">
      <c r="A11" s="91" t="s">
        <v>435</v>
      </c>
      <c r="B11" s="91" t="s">
        <v>374</v>
      </c>
      <c r="C11" s="91">
        <v>2</v>
      </c>
      <c r="D11" s="130">
        <v>0</v>
      </c>
      <c r="E11" s="130">
        <v>1.0107238653917732</v>
      </c>
      <c r="F11" s="91" t="s">
        <v>438</v>
      </c>
      <c r="G11" s="91" t="b">
        <v>0</v>
      </c>
      <c r="H11" s="91" t="b">
        <v>0</v>
      </c>
      <c r="I11" s="91" t="b">
        <v>0</v>
      </c>
      <c r="J11" s="91" t="b">
        <v>0</v>
      </c>
      <c r="K11" s="91" t="b">
        <v>0</v>
      </c>
      <c r="L11" s="91" t="b">
        <v>0</v>
      </c>
    </row>
    <row r="12" spans="1:12" ht="15">
      <c r="A12" s="91" t="s">
        <v>374</v>
      </c>
      <c r="B12" s="91" t="s">
        <v>217</v>
      </c>
      <c r="C12" s="91">
        <v>2</v>
      </c>
      <c r="D12" s="130">
        <v>0</v>
      </c>
      <c r="E12" s="130">
        <v>1.0107238653917732</v>
      </c>
      <c r="F12" s="91" t="s">
        <v>438</v>
      </c>
      <c r="G12" s="91" t="b">
        <v>0</v>
      </c>
      <c r="H12" s="91" t="b">
        <v>0</v>
      </c>
      <c r="I12" s="91" t="b">
        <v>0</v>
      </c>
      <c r="J12" s="91" t="b">
        <v>0</v>
      </c>
      <c r="K12" s="91" t="b">
        <v>0</v>
      </c>
      <c r="L12" s="91" t="b">
        <v>0</v>
      </c>
    </row>
    <row r="13" spans="1:12" ht="15">
      <c r="A13" s="91" t="s">
        <v>380</v>
      </c>
      <c r="B13" s="91" t="s">
        <v>374</v>
      </c>
      <c r="C13" s="91">
        <v>2</v>
      </c>
      <c r="D13" s="130">
        <v>0.014001395147161916</v>
      </c>
      <c r="E13" s="130">
        <v>1.0107238653917732</v>
      </c>
      <c r="F13" s="91" t="s">
        <v>438</v>
      </c>
      <c r="G13" s="91" t="b">
        <v>0</v>
      </c>
      <c r="H13" s="91" t="b">
        <v>0</v>
      </c>
      <c r="I13" s="91" t="b">
        <v>0</v>
      </c>
      <c r="J13" s="91" t="b">
        <v>0</v>
      </c>
      <c r="K13" s="91" t="b">
        <v>0</v>
      </c>
      <c r="L13" s="91" t="b">
        <v>0</v>
      </c>
    </row>
    <row r="14" spans="1:12" ht="15">
      <c r="A14" s="91" t="s">
        <v>380</v>
      </c>
      <c r="B14" s="91" t="s">
        <v>374</v>
      </c>
      <c r="C14" s="91">
        <v>2</v>
      </c>
      <c r="D14" s="130">
        <v>0</v>
      </c>
      <c r="E14" s="130">
        <v>0.9852767431792936</v>
      </c>
      <c r="F14" s="91" t="s">
        <v>342</v>
      </c>
      <c r="G14" s="91" t="b">
        <v>0</v>
      </c>
      <c r="H14" s="91" t="b">
        <v>0</v>
      </c>
      <c r="I14" s="91" t="b">
        <v>0</v>
      </c>
      <c r="J14" s="91" t="b">
        <v>0</v>
      </c>
      <c r="K14" s="91" t="b">
        <v>0</v>
      </c>
      <c r="L14"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462</v>
      </c>
      <c r="B2" s="133" t="s">
        <v>463</v>
      </c>
      <c r="C2" s="67" t="s">
        <v>464</v>
      </c>
    </row>
    <row r="3" spans="1:3" ht="15">
      <c r="A3" s="132" t="s">
        <v>342</v>
      </c>
      <c r="B3" s="132" t="s">
        <v>342</v>
      </c>
      <c r="C3" s="36">
        <v>3</v>
      </c>
    </row>
    <row r="4" spans="1:3" ht="15">
      <c r="A4" s="132" t="s">
        <v>342</v>
      </c>
      <c r="B4" s="132" t="s">
        <v>343</v>
      </c>
      <c r="C4" s="36">
        <v>2</v>
      </c>
    </row>
    <row r="5" spans="1:3" ht="15">
      <c r="A5" s="132" t="s">
        <v>343</v>
      </c>
      <c r="B5" s="132" t="s">
        <v>342</v>
      </c>
      <c r="C5" s="36">
        <v>1</v>
      </c>
    </row>
    <row r="6" spans="1:3" ht="15">
      <c r="A6" s="132" t="s">
        <v>343</v>
      </c>
      <c r="B6" s="132" t="s">
        <v>343</v>
      </c>
      <c r="C6"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483</v>
      </c>
      <c r="B1" s="13" t="s">
        <v>17</v>
      </c>
    </row>
    <row r="2" spans="1:2" ht="15">
      <c r="A2" s="85" t="s">
        <v>484</v>
      </c>
      <c r="B2" s="85" t="s">
        <v>490</v>
      </c>
    </row>
    <row r="3" spans="1:2" ht="15">
      <c r="A3" s="85" t="s">
        <v>485</v>
      </c>
      <c r="B3" s="85" t="s">
        <v>491</v>
      </c>
    </row>
    <row r="4" spans="1:2" ht="15">
      <c r="A4" s="85" t="s">
        <v>486</v>
      </c>
      <c r="B4" s="85" t="s">
        <v>492</v>
      </c>
    </row>
    <row r="5" spans="1:2" ht="15">
      <c r="A5" s="85" t="s">
        <v>487</v>
      </c>
      <c r="B5" s="85" t="s">
        <v>493</v>
      </c>
    </row>
    <row r="6" spans="1:2" ht="15">
      <c r="A6" s="85" t="s">
        <v>488</v>
      </c>
      <c r="B6" s="85" t="s">
        <v>494</v>
      </c>
    </row>
    <row r="7" spans="1:2" ht="15">
      <c r="A7" s="85" t="s">
        <v>489</v>
      </c>
      <c r="B7" s="85" t="s">
        <v>491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341</v>
      </c>
      <c r="BB2" s="13" t="s">
        <v>347</v>
      </c>
      <c r="BC2" s="13" t="s">
        <v>348</v>
      </c>
      <c r="BD2" s="67" t="s">
        <v>451</v>
      </c>
      <c r="BE2" s="67" t="s">
        <v>452</v>
      </c>
      <c r="BF2" s="67" t="s">
        <v>453</v>
      </c>
      <c r="BG2" s="67" t="s">
        <v>454</v>
      </c>
      <c r="BH2" s="67" t="s">
        <v>455</v>
      </c>
      <c r="BI2" s="67" t="s">
        <v>456</v>
      </c>
      <c r="BJ2" s="67" t="s">
        <v>457</v>
      </c>
      <c r="BK2" s="67" t="s">
        <v>458</v>
      </c>
      <c r="BL2" s="67" t="s">
        <v>459</v>
      </c>
    </row>
    <row r="3" spans="1:64" ht="15" customHeight="1">
      <c r="A3" s="84" t="s">
        <v>212</v>
      </c>
      <c r="B3" s="84" t="s">
        <v>214</v>
      </c>
      <c r="C3" s="53"/>
      <c r="D3" s="54"/>
      <c r="E3" s="65"/>
      <c r="F3" s="55"/>
      <c r="G3" s="53"/>
      <c r="H3" s="57"/>
      <c r="I3" s="56"/>
      <c r="J3" s="56"/>
      <c r="K3" s="36" t="s">
        <v>65</v>
      </c>
      <c r="L3" s="62">
        <v>3</v>
      </c>
      <c r="M3" s="62"/>
      <c r="N3" s="63"/>
      <c r="O3" s="85" t="s">
        <v>218</v>
      </c>
      <c r="P3" s="87">
        <v>43773.89701388889</v>
      </c>
      <c r="Q3" s="85" t="s">
        <v>219</v>
      </c>
      <c r="R3" s="85"/>
      <c r="S3" s="85"/>
      <c r="T3" s="85" t="s">
        <v>221</v>
      </c>
      <c r="U3" s="85"/>
      <c r="V3" s="89" t="s">
        <v>223</v>
      </c>
      <c r="W3" s="87">
        <v>43773.89701388889</v>
      </c>
      <c r="X3" s="89" t="s">
        <v>225</v>
      </c>
      <c r="Y3" s="85"/>
      <c r="Z3" s="85"/>
      <c r="AA3" s="91" t="s">
        <v>227</v>
      </c>
      <c r="AB3" s="85"/>
      <c r="AC3" s="85" t="b">
        <v>0</v>
      </c>
      <c r="AD3" s="85">
        <v>12</v>
      </c>
      <c r="AE3" s="91" t="s">
        <v>229</v>
      </c>
      <c r="AF3" s="85" t="b">
        <v>0</v>
      </c>
      <c r="AG3" s="85" t="s">
        <v>230</v>
      </c>
      <c r="AH3" s="85"/>
      <c r="AI3" s="91" t="s">
        <v>229</v>
      </c>
      <c r="AJ3" s="85" t="b">
        <v>0</v>
      </c>
      <c r="AK3" s="85">
        <v>1</v>
      </c>
      <c r="AL3" s="91" t="s">
        <v>229</v>
      </c>
      <c r="AM3" s="85" t="s">
        <v>231</v>
      </c>
      <c r="AN3" s="85" t="b">
        <v>0</v>
      </c>
      <c r="AO3" s="91" t="s">
        <v>227</v>
      </c>
      <c r="AP3" s="85" t="s">
        <v>176</v>
      </c>
      <c r="AQ3" s="85">
        <v>0</v>
      </c>
      <c r="AR3" s="85">
        <v>0</v>
      </c>
      <c r="AS3" s="85"/>
      <c r="AT3" s="85"/>
      <c r="AU3" s="85"/>
      <c r="AV3" s="85"/>
      <c r="AW3" s="85"/>
      <c r="AX3" s="85"/>
      <c r="AY3" s="85"/>
      <c r="AZ3" s="85"/>
      <c r="BA3">
        <v>1</v>
      </c>
      <c r="BB3" s="85" t="str">
        <f>REPLACE(INDEX(GroupVertices[Group],MATCH(Edges25[[#This Row],[Vertex 1]],GroupVertices[Vertex],0)),1,1,"")</f>
        <v>1</v>
      </c>
      <c r="BC3" s="85" t="str">
        <f>REPLACE(INDEX(GroupVertices[Group],MATCH(Edges25[[#This Row],[Vertex 2]],GroupVertices[Vertex],0)),1,1,"")</f>
        <v>1</v>
      </c>
      <c r="BD3" s="51"/>
      <c r="BE3" s="52"/>
      <c r="BF3" s="51"/>
      <c r="BG3" s="52"/>
      <c r="BH3" s="51"/>
      <c r="BI3" s="52"/>
      <c r="BJ3" s="51"/>
      <c r="BK3" s="52"/>
      <c r="BL3" s="51"/>
    </row>
    <row r="4" spans="1:64" ht="15" customHeight="1">
      <c r="A4" s="84" t="s">
        <v>212</v>
      </c>
      <c r="B4" s="84" t="s">
        <v>215</v>
      </c>
      <c r="C4" s="53"/>
      <c r="D4" s="54"/>
      <c r="E4" s="65"/>
      <c r="F4" s="55"/>
      <c r="G4" s="53"/>
      <c r="H4" s="57"/>
      <c r="I4" s="56"/>
      <c r="J4" s="56"/>
      <c r="K4" s="36" t="s">
        <v>65</v>
      </c>
      <c r="L4" s="83">
        <v>4</v>
      </c>
      <c r="M4" s="83"/>
      <c r="N4" s="63"/>
      <c r="O4" s="86" t="s">
        <v>218</v>
      </c>
      <c r="P4" s="88">
        <v>43773.89701388889</v>
      </c>
      <c r="Q4" s="86" t="s">
        <v>219</v>
      </c>
      <c r="R4" s="86"/>
      <c r="S4" s="86"/>
      <c r="T4" s="86" t="s">
        <v>221</v>
      </c>
      <c r="U4" s="86"/>
      <c r="V4" s="90" t="s">
        <v>223</v>
      </c>
      <c r="W4" s="88">
        <v>43773.89701388889</v>
      </c>
      <c r="X4" s="90" t="s">
        <v>225</v>
      </c>
      <c r="Y4" s="86"/>
      <c r="Z4" s="86"/>
      <c r="AA4" s="92" t="s">
        <v>227</v>
      </c>
      <c r="AB4" s="86"/>
      <c r="AC4" s="86" t="b">
        <v>0</v>
      </c>
      <c r="AD4" s="86">
        <v>12</v>
      </c>
      <c r="AE4" s="92" t="s">
        <v>229</v>
      </c>
      <c r="AF4" s="86" t="b">
        <v>0</v>
      </c>
      <c r="AG4" s="86" t="s">
        <v>230</v>
      </c>
      <c r="AH4" s="86"/>
      <c r="AI4" s="92" t="s">
        <v>229</v>
      </c>
      <c r="AJ4" s="86" t="b">
        <v>0</v>
      </c>
      <c r="AK4" s="86">
        <v>1</v>
      </c>
      <c r="AL4" s="92" t="s">
        <v>229</v>
      </c>
      <c r="AM4" s="86" t="s">
        <v>231</v>
      </c>
      <c r="AN4" s="86" t="b">
        <v>0</v>
      </c>
      <c r="AO4" s="92" t="s">
        <v>227</v>
      </c>
      <c r="AP4" s="86" t="s">
        <v>176</v>
      </c>
      <c r="AQ4" s="86">
        <v>0</v>
      </c>
      <c r="AR4" s="86">
        <v>0</v>
      </c>
      <c r="AS4" s="86"/>
      <c r="AT4" s="86"/>
      <c r="AU4" s="86"/>
      <c r="AV4" s="86"/>
      <c r="AW4" s="86"/>
      <c r="AX4" s="86"/>
      <c r="AY4" s="86"/>
      <c r="AZ4" s="86"/>
      <c r="BA4">
        <v>1</v>
      </c>
      <c r="BB4" s="85" t="str">
        <f>REPLACE(INDEX(GroupVertices[Group],MATCH(Edges25[[#This Row],[Vertex 1]],GroupVertices[Vertex],0)),1,1,"")</f>
        <v>1</v>
      </c>
      <c r="BC4" s="85" t="str">
        <f>REPLACE(INDEX(GroupVertices[Group],MATCH(Edges25[[#This Row],[Vertex 2]],GroupVertices[Vertex],0)),1,1,"")</f>
        <v>1</v>
      </c>
      <c r="BD4" s="51"/>
      <c r="BE4" s="52"/>
      <c r="BF4" s="51"/>
      <c r="BG4" s="52"/>
      <c r="BH4" s="51"/>
      <c r="BI4" s="52"/>
      <c r="BJ4" s="51"/>
      <c r="BK4" s="52"/>
      <c r="BL4" s="51"/>
    </row>
    <row r="5" spans="1:64" ht="15">
      <c r="A5" s="84" t="s">
        <v>212</v>
      </c>
      <c r="B5" s="84" t="s">
        <v>216</v>
      </c>
      <c r="C5" s="53"/>
      <c r="D5" s="54"/>
      <c r="E5" s="65"/>
      <c r="F5" s="55"/>
      <c r="G5" s="53"/>
      <c r="H5" s="57"/>
      <c r="I5" s="56"/>
      <c r="J5" s="56"/>
      <c r="K5" s="36" t="s">
        <v>65</v>
      </c>
      <c r="L5" s="83">
        <v>5</v>
      </c>
      <c r="M5" s="83"/>
      <c r="N5" s="63"/>
      <c r="O5" s="86" t="s">
        <v>218</v>
      </c>
      <c r="P5" s="88">
        <v>43773.89701388889</v>
      </c>
      <c r="Q5" s="86" t="s">
        <v>219</v>
      </c>
      <c r="R5" s="86"/>
      <c r="S5" s="86"/>
      <c r="T5" s="86" t="s">
        <v>221</v>
      </c>
      <c r="U5" s="86"/>
      <c r="V5" s="90" t="s">
        <v>223</v>
      </c>
      <c r="W5" s="88">
        <v>43773.89701388889</v>
      </c>
      <c r="X5" s="90" t="s">
        <v>225</v>
      </c>
      <c r="Y5" s="86"/>
      <c r="Z5" s="86"/>
      <c r="AA5" s="92" t="s">
        <v>227</v>
      </c>
      <c r="AB5" s="86"/>
      <c r="AC5" s="86" t="b">
        <v>0</v>
      </c>
      <c r="AD5" s="86">
        <v>12</v>
      </c>
      <c r="AE5" s="92" t="s">
        <v>229</v>
      </c>
      <c r="AF5" s="86" t="b">
        <v>0</v>
      </c>
      <c r="AG5" s="86" t="s">
        <v>230</v>
      </c>
      <c r="AH5" s="86"/>
      <c r="AI5" s="92" t="s">
        <v>229</v>
      </c>
      <c r="AJ5" s="86" t="b">
        <v>0</v>
      </c>
      <c r="AK5" s="86">
        <v>1</v>
      </c>
      <c r="AL5" s="92" t="s">
        <v>229</v>
      </c>
      <c r="AM5" s="86" t="s">
        <v>231</v>
      </c>
      <c r="AN5" s="86" t="b">
        <v>0</v>
      </c>
      <c r="AO5" s="92" t="s">
        <v>227</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c r="BE5" s="52"/>
      <c r="BF5" s="51"/>
      <c r="BG5" s="52"/>
      <c r="BH5" s="51"/>
      <c r="BI5" s="52"/>
      <c r="BJ5" s="51"/>
      <c r="BK5" s="52"/>
      <c r="BL5" s="51"/>
    </row>
    <row r="6" spans="1:64" ht="15">
      <c r="A6" s="84" t="s">
        <v>212</v>
      </c>
      <c r="B6" s="84" t="s">
        <v>217</v>
      </c>
      <c r="C6" s="53"/>
      <c r="D6" s="54"/>
      <c r="E6" s="65"/>
      <c r="F6" s="55"/>
      <c r="G6" s="53"/>
      <c r="H6" s="57"/>
      <c r="I6" s="56"/>
      <c r="J6" s="56"/>
      <c r="K6" s="36" t="s">
        <v>65</v>
      </c>
      <c r="L6" s="83">
        <v>6</v>
      </c>
      <c r="M6" s="83"/>
      <c r="N6" s="63"/>
      <c r="O6" s="86" t="s">
        <v>218</v>
      </c>
      <c r="P6" s="88">
        <v>43773.89701388889</v>
      </c>
      <c r="Q6" s="86" t="s">
        <v>219</v>
      </c>
      <c r="R6" s="86"/>
      <c r="S6" s="86"/>
      <c r="T6" s="86" t="s">
        <v>221</v>
      </c>
      <c r="U6" s="86"/>
      <c r="V6" s="90" t="s">
        <v>223</v>
      </c>
      <c r="W6" s="88">
        <v>43773.89701388889</v>
      </c>
      <c r="X6" s="90" t="s">
        <v>225</v>
      </c>
      <c r="Y6" s="86"/>
      <c r="Z6" s="86"/>
      <c r="AA6" s="92" t="s">
        <v>227</v>
      </c>
      <c r="AB6" s="86"/>
      <c r="AC6" s="86" t="b">
        <v>0</v>
      </c>
      <c r="AD6" s="86">
        <v>12</v>
      </c>
      <c r="AE6" s="92" t="s">
        <v>229</v>
      </c>
      <c r="AF6" s="86" t="b">
        <v>0</v>
      </c>
      <c r="AG6" s="86" t="s">
        <v>230</v>
      </c>
      <c r="AH6" s="86"/>
      <c r="AI6" s="92" t="s">
        <v>229</v>
      </c>
      <c r="AJ6" s="86" t="b">
        <v>0</v>
      </c>
      <c r="AK6" s="86">
        <v>1</v>
      </c>
      <c r="AL6" s="92" t="s">
        <v>229</v>
      </c>
      <c r="AM6" s="86" t="s">
        <v>231</v>
      </c>
      <c r="AN6" s="86" t="b">
        <v>0</v>
      </c>
      <c r="AO6" s="92" t="s">
        <v>227</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2</v>
      </c>
      <c r="BD6" s="51"/>
      <c r="BE6" s="52"/>
      <c r="BF6" s="51"/>
      <c r="BG6" s="52"/>
      <c r="BH6" s="51"/>
      <c r="BI6" s="52"/>
      <c r="BJ6" s="51"/>
      <c r="BK6" s="52"/>
      <c r="BL6" s="51"/>
    </row>
    <row r="7" spans="1:64" ht="15">
      <c r="A7" s="84" t="s">
        <v>213</v>
      </c>
      <c r="B7" s="84" t="s">
        <v>217</v>
      </c>
      <c r="C7" s="53"/>
      <c r="D7" s="54"/>
      <c r="E7" s="65"/>
      <c r="F7" s="55"/>
      <c r="G7" s="53"/>
      <c r="H7" s="57"/>
      <c r="I7" s="56"/>
      <c r="J7" s="56"/>
      <c r="K7" s="36" t="s">
        <v>65</v>
      </c>
      <c r="L7" s="83">
        <v>7</v>
      </c>
      <c r="M7" s="83"/>
      <c r="N7" s="63"/>
      <c r="O7" s="86" t="s">
        <v>218</v>
      </c>
      <c r="P7" s="88">
        <v>43774.166597222225</v>
      </c>
      <c r="Q7" s="86" t="s">
        <v>220</v>
      </c>
      <c r="R7" s="86"/>
      <c r="S7" s="86"/>
      <c r="T7" s="86" t="s">
        <v>222</v>
      </c>
      <c r="U7" s="86"/>
      <c r="V7" s="90" t="s">
        <v>224</v>
      </c>
      <c r="W7" s="88">
        <v>43774.166597222225</v>
      </c>
      <c r="X7" s="90" t="s">
        <v>226</v>
      </c>
      <c r="Y7" s="86"/>
      <c r="Z7" s="86"/>
      <c r="AA7" s="92" t="s">
        <v>228</v>
      </c>
      <c r="AB7" s="86"/>
      <c r="AC7" s="86" t="b">
        <v>0</v>
      </c>
      <c r="AD7" s="86">
        <v>0</v>
      </c>
      <c r="AE7" s="92" t="s">
        <v>229</v>
      </c>
      <c r="AF7" s="86" t="b">
        <v>0</v>
      </c>
      <c r="AG7" s="86" t="s">
        <v>230</v>
      </c>
      <c r="AH7" s="86"/>
      <c r="AI7" s="92" t="s">
        <v>229</v>
      </c>
      <c r="AJ7" s="86" t="b">
        <v>0</v>
      </c>
      <c r="AK7" s="86">
        <v>1</v>
      </c>
      <c r="AL7" s="92" t="s">
        <v>227</v>
      </c>
      <c r="AM7" s="86" t="s">
        <v>232</v>
      </c>
      <c r="AN7" s="86" t="b">
        <v>0</v>
      </c>
      <c r="AO7" s="92" t="s">
        <v>227</v>
      </c>
      <c r="AP7" s="86" t="s">
        <v>176</v>
      </c>
      <c r="AQ7" s="86">
        <v>0</v>
      </c>
      <c r="AR7" s="86">
        <v>0</v>
      </c>
      <c r="AS7" s="86"/>
      <c r="AT7" s="86"/>
      <c r="AU7" s="86"/>
      <c r="AV7" s="86"/>
      <c r="AW7" s="86"/>
      <c r="AX7" s="86"/>
      <c r="AY7" s="86"/>
      <c r="AZ7" s="86"/>
      <c r="BA7">
        <v>1</v>
      </c>
      <c r="BB7" s="85" t="str">
        <f>REPLACE(INDEX(GroupVertices[Group],MATCH(Edges25[[#This Row],[Vertex 1]],GroupVertices[Vertex],0)),1,1,"")</f>
        <v>2</v>
      </c>
      <c r="BC7" s="85" t="str">
        <f>REPLACE(INDEX(GroupVertices[Group],MATCH(Edges25[[#This Row],[Vertex 2]],GroupVertices[Vertex],0)),1,1,"")</f>
        <v>2</v>
      </c>
      <c r="BD7" s="51"/>
      <c r="BE7" s="52"/>
      <c r="BF7" s="51"/>
      <c r="BG7" s="52"/>
      <c r="BH7" s="51"/>
      <c r="BI7" s="52"/>
      <c r="BJ7" s="51"/>
      <c r="BK7" s="52"/>
      <c r="BL7" s="51"/>
    </row>
    <row r="8" spans="1:64" ht="15">
      <c r="A8" s="84" t="s">
        <v>212</v>
      </c>
      <c r="B8" s="84" t="s">
        <v>213</v>
      </c>
      <c r="C8" s="53"/>
      <c r="D8" s="54"/>
      <c r="E8" s="65"/>
      <c r="F8" s="55"/>
      <c r="G8" s="53"/>
      <c r="H8" s="57"/>
      <c r="I8" s="56"/>
      <c r="J8" s="56"/>
      <c r="K8" s="36" t="s">
        <v>66</v>
      </c>
      <c r="L8" s="83">
        <v>8</v>
      </c>
      <c r="M8" s="83"/>
      <c r="N8" s="63"/>
      <c r="O8" s="86" t="s">
        <v>218</v>
      </c>
      <c r="P8" s="88">
        <v>43773.89701388889</v>
      </c>
      <c r="Q8" s="86" t="s">
        <v>219</v>
      </c>
      <c r="R8" s="86"/>
      <c r="S8" s="86"/>
      <c r="T8" s="86" t="s">
        <v>221</v>
      </c>
      <c r="U8" s="86"/>
      <c r="V8" s="90" t="s">
        <v>223</v>
      </c>
      <c r="W8" s="88">
        <v>43773.89701388889</v>
      </c>
      <c r="X8" s="90" t="s">
        <v>225</v>
      </c>
      <c r="Y8" s="86"/>
      <c r="Z8" s="86"/>
      <c r="AA8" s="92" t="s">
        <v>227</v>
      </c>
      <c r="AB8" s="86"/>
      <c r="AC8" s="86" t="b">
        <v>0</v>
      </c>
      <c r="AD8" s="86">
        <v>12</v>
      </c>
      <c r="AE8" s="92" t="s">
        <v>229</v>
      </c>
      <c r="AF8" s="86" t="b">
        <v>0</v>
      </c>
      <c r="AG8" s="86" t="s">
        <v>230</v>
      </c>
      <c r="AH8" s="86"/>
      <c r="AI8" s="92" t="s">
        <v>229</v>
      </c>
      <c r="AJ8" s="86" t="b">
        <v>0</v>
      </c>
      <c r="AK8" s="86">
        <v>1</v>
      </c>
      <c r="AL8" s="92" t="s">
        <v>229</v>
      </c>
      <c r="AM8" s="86" t="s">
        <v>231</v>
      </c>
      <c r="AN8" s="86" t="b">
        <v>0</v>
      </c>
      <c r="AO8" s="92" t="s">
        <v>227</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2</v>
      </c>
      <c r="BD8" s="51">
        <v>1</v>
      </c>
      <c r="BE8" s="52">
        <v>2.2222222222222223</v>
      </c>
      <c r="BF8" s="51">
        <v>0</v>
      </c>
      <c r="BG8" s="52">
        <v>0</v>
      </c>
      <c r="BH8" s="51">
        <v>0</v>
      </c>
      <c r="BI8" s="52">
        <v>0</v>
      </c>
      <c r="BJ8" s="51">
        <v>44</v>
      </c>
      <c r="BK8" s="52">
        <v>97.77777777777777</v>
      </c>
      <c r="BL8" s="51">
        <v>45</v>
      </c>
    </row>
    <row r="9" spans="1:64" ht="15">
      <c r="A9" s="84" t="s">
        <v>213</v>
      </c>
      <c r="B9" s="84" t="s">
        <v>212</v>
      </c>
      <c r="C9" s="53"/>
      <c r="D9" s="54"/>
      <c r="E9" s="65"/>
      <c r="F9" s="55"/>
      <c r="G9" s="53"/>
      <c r="H9" s="57"/>
      <c r="I9" s="56"/>
      <c r="J9" s="56"/>
      <c r="K9" s="36" t="s">
        <v>66</v>
      </c>
      <c r="L9" s="83">
        <v>9</v>
      </c>
      <c r="M9" s="83"/>
      <c r="N9" s="63"/>
      <c r="O9" s="86" t="s">
        <v>218</v>
      </c>
      <c r="P9" s="88">
        <v>43774.166597222225</v>
      </c>
      <c r="Q9" s="86" t="s">
        <v>220</v>
      </c>
      <c r="R9" s="86"/>
      <c r="S9" s="86"/>
      <c r="T9" s="86" t="s">
        <v>222</v>
      </c>
      <c r="U9" s="86"/>
      <c r="V9" s="90" t="s">
        <v>224</v>
      </c>
      <c r="W9" s="88">
        <v>43774.166597222225</v>
      </c>
      <c r="X9" s="90" t="s">
        <v>226</v>
      </c>
      <c r="Y9" s="86"/>
      <c r="Z9" s="86"/>
      <c r="AA9" s="92" t="s">
        <v>228</v>
      </c>
      <c r="AB9" s="86"/>
      <c r="AC9" s="86" t="b">
        <v>0</v>
      </c>
      <c r="AD9" s="86">
        <v>0</v>
      </c>
      <c r="AE9" s="92" t="s">
        <v>229</v>
      </c>
      <c r="AF9" s="86" t="b">
        <v>0</v>
      </c>
      <c r="AG9" s="86" t="s">
        <v>230</v>
      </c>
      <c r="AH9" s="86"/>
      <c r="AI9" s="92" t="s">
        <v>229</v>
      </c>
      <c r="AJ9" s="86" t="b">
        <v>0</v>
      </c>
      <c r="AK9" s="86">
        <v>1</v>
      </c>
      <c r="AL9" s="92" t="s">
        <v>227</v>
      </c>
      <c r="AM9" s="86" t="s">
        <v>232</v>
      </c>
      <c r="AN9" s="86" t="b">
        <v>0</v>
      </c>
      <c r="AO9" s="92" t="s">
        <v>227</v>
      </c>
      <c r="AP9" s="86" t="s">
        <v>176</v>
      </c>
      <c r="AQ9" s="86">
        <v>0</v>
      </c>
      <c r="AR9" s="86">
        <v>0</v>
      </c>
      <c r="AS9" s="86"/>
      <c r="AT9" s="86"/>
      <c r="AU9" s="86"/>
      <c r="AV9" s="86"/>
      <c r="AW9" s="86"/>
      <c r="AX9" s="86"/>
      <c r="AY9" s="86"/>
      <c r="AZ9" s="86"/>
      <c r="BA9">
        <v>1</v>
      </c>
      <c r="BB9" s="85" t="str">
        <f>REPLACE(INDEX(GroupVertices[Group],MATCH(Edges25[[#This Row],[Vertex 1]],GroupVertices[Vertex],0)),1,1,"")</f>
        <v>2</v>
      </c>
      <c r="BC9" s="85" t="str">
        <f>REPLACE(INDEX(GroupVertices[Group],MATCH(Edges25[[#This Row],[Vertex 2]],GroupVertices[Vertex],0)),1,1,"")</f>
        <v>1</v>
      </c>
      <c r="BD9" s="51">
        <v>1</v>
      </c>
      <c r="BE9" s="52">
        <v>4.166666666666667</v>
      </c>
      <c r="BF9" s="51">
        <v>0</v>
      </c>
      <c r="BG9" s="52">
        <v>0</v>
      </c>
      <c r="BH9" s="51">
        <v>0</v>
      </c>
      <c r="BI9" s="52">
        <v>0</v>
      </c>
      <c r="BJ9" s="51">
        <v>23</v>
      </c>
      <c r="BK9" s="52">
        <v>95.83333333333333</v>
      </c>
      <c r="BL9" s="51">
        <v>24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hyperlinks>
    <hyperlink ref="V3" r:id="rId1" display="http://pbs.twimg.com/profile_images/1154453407144370177/ke6hZ2in_normal.jpg"/>
    <hyperlink ref="V4" r:id="rId2" display="http://pbs.twimg.com/profile_images/1154453407144370177/ke6hZ2in_normal.jpg"/>
    <hyperlink ref="V5" r:id="rId3" display="http://pbs.twimg.com/profile_images/1154453407144370177/ke6hZ2in_normal.jpg"/>
    <hyperlink ref="V6" r:id="rId4" display="http://pbs.twimg.com/profile_images/1154453407144370177/ke6hZ2in_normal.jpg"/>
    <hyperlink ref="V7" r:id="rId5" display="http://pbs.twimg.com/profile_images/1079374662763724801/tvIDz9T-_normal.jpg"/>
    <hyperlink ref="V8" r:id="rId6" display="http://pbs.twimg.com/profile_images/1154453407144370177/ke6hZ2in_normal.jpg"/>
    <hyperlink ref="V9" r:id="rId7" display="http://pbs.twimg.com/profile_images/1079374662763724801/tvIDz9T-_normal.jpg"/>
    <hyperlink ref="X3" r:id="rId8" display="https://twitter.com/#!/koltaikolina/status/1191468084319539200"/>
    <hyperlink ref="X4" r:id="rId9" display="https://twitter.com/#!/koltaikolina/status/1191468084319539200"/>
    <hyperlink ref="X5" r:id="rId10" display="https://twitter.com/#!/koltaikolina/status/1191468084319539200"/>
    <hyperlink ref="X6" r:id="rId11" display="https://twitter.com/#!/koltaikolina/status/1191468084319539200"/>
    <hyperlink ref="X7" r:id="rId12" display="https://twitter.com/#!/saviaga/status/1191565779977814016"/>
    <hyperlink ref="X8" r:id="rId13" display="https://twitter.com/#!/koltaikolina/status/1191468084319539200"/>
    <hyperlink ref="X9" r:id="rId14" display="https://twitter.com/#!/saviaga/status/1191565779977814016"/>
  </hyperlinks>
  <printOptions/>
  <pageMargins left="0.7" right="0.7" top="0.75" bottom="0.75" header="0.3" footer="0.3"/>
  <pageSetup horizontalDpi="600" verticalDpi="600" orientation="portrait" r:id="rId18"/>
  <legacyDrawing r:id="rId16"/>
  <tableParts>
    <tablePart r:id="rId1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495</v>
      </c>
      <c r="B1" s="13" t="s">
        <v>34</v>
      </c>
    </row>
    <row r="2" spans="1:2" ht="15">
      <c r="A2" s="124" t="s">
        <v>212</v>
      </c>
      <c r="B2" s="85">
        <v>18</v>
      </c>
    </row>
    <row r="3" spans="1:2" ht="15">
      <c r="A3" s="124" t="s">
        <v>217</v>
      </c>
      <c r="B3" s="85">
        <v>0</v>
      </c>
    </row>
    <row r="4" spans="1:2" ht="15">
      <c r="A4" s="124" t="s">
        <v>213</v>
      </c>
      <c r="B4" s="85">
        <v>0</v>
      </c>
    </row>
    <row r="5" spans="1:2" ht="15">
      <c r="A5" s="124" t="s">
        <v>216</v>
      </c>
      <c r="B5" s="85">
        <v>0</v>
      </c>
    </row>
    <row r="6" spans="1:2" ht="15">
      <c r="A6" s="124" t="s">
        <v>214</v>
      </c>
      <c r="B6" s="85">
        <v>0</v>
      </c>
    </row>
    <row r="7" spans="1:2" ht="15">
      <c r="A7" s="124" t="s">
        <v>215</v>
      </c>
      <c r="B7"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497</v>
      </c>
      <c r="B25" t="s">
        <v>496</v>
      </c>
    </row>
    <row r="26" spans="1:2" ht="15">
      <c r="A26" s="136">
        <v>43773.89701388889</v>
      </c>
      <c r="B26" s="3">
        <v>5</v>
      </c>
    </row>
    <row r="27" spans="1:2" ht="15">
      <c r="A27" s="136">
        <v>43774.166597222225</v>
      </c>
      <c r="B27" s="3">
        <v>2</v>
      </c>
    </row>
    <row r="28" spans="1:2" ht="15">
      <c r="A28" s="136" t="s">
        <v>498</v>
      </c>
      <c r="B28"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233</v>
      </c>
      <c r="AE2" s="13" t="s">
        <v>234</v>
      </c>
      <c r="AF2" s="13" t="s">
        <v>235</v>
      </c>
      <c r="AG2" s="13" t="s">
        <v>236</v>
      </c>
      <c r="AH2" s="13" t="s">
        <v>237</v>
      </c>
      <c r="AI2" s="13" t="s">
        <v>238</v>
      </c>
      <c r="AJ2" s="13" t="s">
        <v>239</v>
      </c>
      <c r="AK2" s="13" t="s">
        <v>240</v>
      </c>
      <c r="AL2" s="13" t="s">
        <v>241</v>
      </c>
      <c r="AM2" s="13" t="s">
        <v>242</v>
      </c>
      <c r="AN2" s="13" t="s">
        <v>243</v>
      </c>
      <c r="AO2" s="13" t="s">
        <v>244</v>
      </c>
      <c r="AP2" s="13" t="s">
        <v>245</v>
      </c>
      <c r="AQ2" s="13" t="s">
        <v>246</v>
      </c>
      <c r="AR2" s="13" t="s">
        <v>247</v>
      </c>
      <c r="AS2" s="13" t="s">
        <v>192</v>
      </c>
      <c r="AT2" s="13" t="s">
        <v>248</v>
      </c>
      <c r="AU2" s="13" t="s">
        <v>249</v>
      </c>
      <c r="AV2" s="13" t="s">
        <v>250</v>
      </c>
      <c r="AW2" s="13" t="s">
        <v>251</v>
      </c>
      <c r="AX2" s="13" t="s">
        <v>252</v>
      </c>
      <c r="AY2" s="13" t="s">
        <v>253</v>
      </c>
      <c r="AZ2" s="13" t="s">
        <v>346</v>
      </c>
      <c r="BA2" s="127" t="s">
        <v>415</v>
      </c>
      <c r="BB2" s="127" t="s">
        <v>416</v>
      </c>
      <c r="BC2" s="127" t="s">
        <v>417</v>
      </c>
      <c r="BD2" s="127" t="s">
        <v>418</v>
      </c>
      <c r="BE2" s="127" t="s">
        <v>419</v>
      </c>
      <c r="BF2" s="127" t="s">
        <v>420</v>
      </c>
      <c r="BG2" s="127" t="s">
        <v>421</v>
      </c>
      <c r="BH2" s="127" t="s">
        <v>424</v>
      </c>
      <c r="BI2" s="127" t="s">
        <v>425</v>
      </c>
      <c r="BJ2" s="127" t="s">
        <v>428</v>
      </c>
      <c r="BK2" s="127" t="s">
        <v>451</v>
      </c>
      <c r="BL2" s="127" t="s">
        <v>452</v>
      </c>
      <c r="BM2" s="127" t="s">
        <v>453</v>
      </c>
      <c r="BN2" s="127" t="s">
        <v>454</v>
      </c>
      <c r="BO2" s="127" t="s">
        <v>455</v>
      </c>
      <c r="BP2" s="127" t="s">
        <v>456</v>
      </c>
      <c r="BQ2" s="127" t="s">
        <v>457</v>
      </c>
      <c r="BR2" s="127" t="s">
        <v>458</v>
      </c>
      <c r="BS2" s="127" t="s">
        <v>460</v>
      </c>
      <c r="BT2" s="3"/>
      <c r="BU2" s="3"/>
    </row>
    <row r="3" spans="1:73" ht="15" customHeight="1">
      <c r="A3" s="50" t="s">
        <v>212</v>
      </c>
      <c r="B3" s="53"/>
      <c r="C3" s="53" t="s">
        <v>64</v>
      </c>
      <c r="D3" s="54">
        <v>165.80028968513983</v>
      </c>
      <c r="E3" s="55"/>
      <c r="F3" s="112" t="s">
        <v>223</v>
      </c>
      <c r="G3" s="53"/>
      <c r="H3" s="57" t="s">
        <v>212</v>
      </c>
      <c r="I3" s="56"/>
      <c r="J3" s="56"/>
      <c r="K3" s="114" t="s">
        <v>297</v>
      </c>
      <c r="L3" s="59">
        <v>9999</v>
      </c>
      <c r="M3" s="60">
        <v>4950.77197265625</v>
      </c>
      <c r="N3" s="60">
        <v>2676.202880859375</v>
      </c>
      <c r="O3" s="58"/>
      <c r="P3" s="61"/>
      <c r="Q3" s="61"/>
      <c r="R3" s="51"/>
      <c r="S3" s="51">
        <v>1</v>
      </c>
      <c r="T3" s="51">
        <v>5</v>
      </c>
      <c r="U3" s="52">
        <v>18</v>
      </c>
      <c r="V3" s="52">
        <v>0.2</v>
      </c>
      <c r="W3" s="52">
        <v>0.284565</v>
      </c>
      <c r="X3" s="52">
        <v>2.392691</v>
      </c>
      <c r="Y3" s="52">
        <v>0.05</v>
      </c>
      <c r="Z3" s="52">
        <v>0.2</v>
      </c>
      <c r="AA3" s="62">
        <v>3</v>
      </c>
      <c r="AB3" s="62"/>
      <c r="AC3" s="63"/>
      <c r="AD3" s="85" t="s">
        <v>254</v>
      </c>
      <c r="AE3" s="85">
        <v>597</v>
      </c>
      <c r="AF3" s="85">
        <v>381</v>
      </c>
      <c r="AG3" s="85">
        <v>1146</v>
      </c>
      <c r="AH3" s="85">
        <v>3731</v>
      </c>
      <c r="AI3" s="85"/>
      <c r="AJ3" s="85" t="s">
        <v>260</v>
      </c>
      <c r="AK3" s="85" t="s">
        <v>266</v>
      </c>
      <c r="AL3" s="89" t="s">
        <v>271</v>
      </c>
      <c r="AM3" s="85"/>
      <c r="AN3" s="87">
        <v>42612.88079861111</v>
      </c>
      <c r="AO3" s="89" t="s">
        <v>277</v>
      </c>
      <c r="AP3" s="85" t="b">
        <v>0</v>
      </c>
      <c r="AQ3" s="85" t="b">
        <v>0</v>
      </c>
      <c r="AR3" s="85" t="b">
        <v>1</v>
      </c>
      <c r="AS3" s="85"/>
      <c r="AT3" s="85">
        <v>7</v>
      </c>
      <c r="AU3" s="89" t="s">
        <v>283</v>
      </c>
      <c r="AV3" s="85" t="b">
        <v>0</v>
      </c>
      <c r="AW3" s="85" t="s">
        <v>290</v>
      </c>
      <c r="AX3" s="89" t="s">
        <v>291</v>
      </c>
      <c r="AY3" s="85" t="s">
        <v>66</v>
      </c>
      <c r="AZ3" s="85" t="str">
        <f>REPLACE(INDEX(GroupVertices[Group],MATCH(Vertices[[#This Row],[Vertex]],GroupVertices[Vertex],0)),1,1,"")</f>
        <v>1</v>
      </c>
      <c r="BA3" s="51"/>
      <c r="BB3" s="51"/>
      <c r="BC3" s="51"/>
      <c r="BD3" s="51"/>
      <c r="BE3" s="51" t="s">
        <v>221</v>
      </c>
      <c r="BF3" s="51" t="s">
        <v>221</v>
      </c>
      <c r="BG3" s="128" t="s">
        <v>422</v>
      </c>
      <c r="BH3" s="128" t="s">
        <v>422</v>
      </c>
      <c r="BI3" s="128" t="s">
        <v>426</v>
      </c>
      <c r="BJ3" s="128" t="s">
        <v>426</v>
      </c>
      <c r="BK3" s="128">
        <v>1</v>
      </c>
      <c r="BL3" s="131">
        <v>2.2222222222222223</v>
      </c>
      <c r="BM3" s="128">
        <v>0</v>
      </c>
      <c r="BN3" s="131">
        <v>0</v>
      </c>
      <c r="BO3" s="128">
        <v>0</v>
      </c>
      <c r="BP3" s="131">
        <v>0</v>
      </c>
      <c r="BQ3" s="128">
        <v>44</v>
      </c>
      <c r="BR3" s="131">
        <v>97.77777777777777</v>
      </c>
      <c r="BS3" s="128">
        <v>45</v>
      </c>
      <c r="BT3" s="3"/>
      <c r="BU3" s="3"/>
    </row>
    <row r="4" spans="1:76" ht="15">
      <c r="A4" s="14" t="s">
        <v>214</v>
      </c>
      <c r="B4" s="15"/>
      <c r="C4" s="15" t="s">
        <v>64</v>
      </c>
      <c r="D4" s="93">
        <v>1000</v>
      </c>
      <c r="E4" s="81"/>
      <c r="F4" s="112" t="s">
        <v>286</v>
      </c>
      <c r="G4" s="15"/>
      <c r="H4" s="16" t="s">
        <v>214</v>
      </c>
      <c r="I4" s="66"/>
      <c r="J4" s="66"/>
      <c r="K4" s="114" t="s">
        <v>298</v>
      </c>
      <c r="L4" s="94">
        <v>1</v>
      </c>
      <c r="M4" s="95">
        <v>4950.77197265625</v>
      </c>
      <c r="N4" s="95">
        <v>7322.796875</v>
      </c>
      <c r="O4" s="77"/>
      <c r="P4" s="96"/>
      <c r="Q4" s="96"/>
      <c r="R4" s="97"/>
      <c r="S4" s="51">
        <v>1</v>
      </c>
      <c r="T4" s="51">
        <v>0</v>
      </c>
      <c r="U4" s="52">
        <v>0</v>
      </c>
      <c r="V4" s="52">
        <v>0.111111</v>
      </c>
      <c r="W4" s="52">
        <v>0.113186</v>
      </c>
      <c r="X4" s="52">
        <v>0.556751</v>
      </c>
      <c r="Y4" s="52">
        <v>0</v>
      </c>
      <c r="Z4" s="52">
        <v>0</v>
      </c>
      <c r="AA4" s="82">
        <v>4</v>
      </c>
      <c r="AB4" s="82"/>
      <c r="AC4" s="98"/>
      <c r="AD4" s="85" t="s">
        <v>255</v>
      </c>
      <c r="AE4" s="85">
        <v>10</v>
      </c>
      <c r="AF4" s="85">
        <v>58112</v>
      </c>
      <c r="AG4" s="85">
        <v>91</v>
      </c>
      <c r="AH4" s="85">
        <v>14</v>
      </c>
      <c r="AI4" s="85"/>
      <c r="AJ4" s="85" t="s">
        <v>261</v>
      </c>
      <c r="AK4" s="85"/>
      <c r="AL4" s="89" t="s">
        <v>272</v>
      </c>
      <c r="AM4" s="85"/>
      <c r="AN4" s="87">
        <v>40277.014710648145</v>
      </c>
      <c r="AO4" s="89" t="s">
        <v>278</v>
      </c>
      <c r="AP4" s="85" t="b">
        <v>0</v>
      </c>
      <c r="AQ4" s="85" t="b">
        <v>0</v>
      </c>
      <c r="AR4" s="85" t="b">
        <v>0</v>
      </c>
      <c r="AS4" s="85" t="s">
        <v>230</v>
      </c>
      <c r="AT4" s="85">
        <v>654</v>
      </c>
      <c r="AU4" s="89" t="s">
        <v>283</v>
      </c>
      <c r="AV4" s="85" t="b">
        <v>1</v>
      </c>
      <c r="AW4" s="85" t="s">
        <v>290</v>
      </c>
      <c r="AX4" s="89" t="s">
        <v>292</v>
      </c>
      <c r="AY4" s="85" t="s">
        <v>65</v>
      </c>
      <c r="AZ4" s="85"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215</v>
      </c>
      <c r="B5" s="15"/>
      <c r="C5" s="15" t="s">
        <v>64</v>
      </c>
      <c r="D5" s="93">
        <v>1000</v>
      </c>
      <c r="E5" s="81"/>
      <c r="F5" s="112" t="s">
        <v>287</v>
      </c>
      <c r="G5" s="15"/>
      <c r="H5" s="16" t="s">
        <v>215</v>
      </c>
      <c r="I5" s="66"/>
      <c r="J5" s="66"/>
      <c r="K5" s="114" t="s">
        <v>299</v>
      </c>
      <c r="L5" s="94">
        <v>1</v>
      </c>
      <c r="M5" s="95">
        <v>1780.1988525390625</v>
      </c>
      <c r="N5" s="95">
        <v>7322.796875</v>
      </c>
      <c r="O5" s="77"/>
      <c r="P5" s="96"/>
      <c r="Q5" s="96"/>
      <c r="R5" s="97"/>
      <c r="S5" s="51">
        <v>1</v>
      </c>
      <c r="T5" s="51">
        <v>0</v>
      </c>
      <c r="U5" s="52">
        <v>0</v>
      </c>
      <c r="V5" s="52">
        <v>0.111111</v>
      </c>
      <c r="W5" s="52">
        <v>0.113186</v>
      </c>
      <c r="X5" s="52">
        <v>0.556751</v>
      </c>
      <c r="Y5" s="52">
        <v>0</v>
      </c>
      <c r="Z5" s="52">
        <v>0</v>
      </c>
      <c r="AA5" s="82">
        <v>5</v>
      </c>
      <c r="AB5" s="82"/>
      <c r="AC5" s="98"/>
      <c r="AD5" s="85" t="s">
        <v>256</v>
      </c>
      <c r="AE5" s="85">
        <v>6</v>
      </c>
      <c r="AF5" s="85">
        <v>767442</v>
      </c>
      <c r="AG5" s="85">
        <v>1662</v>
      </c>
      <c r="AH5" s="85">
        <v>11</v>
      </c>
      <c r="AI5" s="85">
        <v>-28800</v>
      </c>
      <c r="AJ5" s="85" t="s">
        <v>262</v>
      </c>
      <c r="AK5" s="85" t="s">
        <v>267</v>
      </c>
      <c r="AL5" s="89" t="s">
        <v>273</v>
      </c>
      <c r="AM5" s="85" t="s">
        <v>276</v>
      </c>
      <c r="AN5" s="87">
        <v>40241.87736111111</v>
      </c>
      <c r="AO5" s="89" t="s">
        <v>279</v>
      </c>
      <c r="AP5" s="85" t="b">
        <v>0</v>
      </c>
      <c r="AQ5" s="85" t="b">
        <v>0</v>
      </c>
      <c r="AR5" s="85" t="b">
        <v>0</v>
      </c>
      <c r="AS5" s="85" t="s">
        <v>230</v>
      </c>
      <c r="AT5" s="85">
        <v>6185</v>
      </c>
      <c r="AU5" s="89" t="s">
        <v>284</v>
      </c>
      <c r="AV5" s="85" t="b">
        <v>1</v>
      </c>
      <c r="AW5" s="85" t="s">
        <v>290</v>
      </c>
      <c r="AX5" s="89" t="s">
        <v>293</v>
      </c>
      <c r="AY5" s="85" t="s">
        <v>65</v>
      </c>
      <c r="AZ5" s="85" t="str">
        <f>REPLACE(INDEX(GroupVertices[Group],MATCH(Vertices[[#This Row],[Vertex]],GroupVertices[Vertex],0)),1,1,"")</f>
        <v>1</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216</v>
      </c>
      <c r="B6" s="15"/>
      <c r="C6" s="15" t="s">
        <v>64</v>
      </c>
      <c r="D6" s="93">
        <v>162</v>
      </c>
      <c r="E6" s="81"/>
      <c r="F6" s="112" t="s">
        <v>288</v>
      </c>
      <c r="G6" s="15"/>
      <c r="H6" s="16" t="s">
        <v>216</v>
      </c>
      <c r="I6" s="66"/>
      <c r="J6" s="66"/>
      <c r="K6" s="114" t="s">
        <v>300</v>
      </c>
      <c r="L6" s="94">
        <v>1</v>
      </c>
      <c r="M6" s="95">
        <v>1780.1988525390625</v>
      </c>
      <c r="N6" s="95">
        <v>2676.202880859375</v>
      </c>
      <c r="O6" s="77"/>
      <c r="P6" s="96"/>
      <c r="Q6" s="96"/>
      <c r="R6" s="97"/>
      <c r="S6" s="51">
        <v>1</v>
      </c>
      <c r="T6" s="51">
        <v>0</v>
      </c>
      <c r="U6" s="52">
        <v>0</v>
      </c>
      <c r="V6" s="52">
        <v>0.111111</v>
      </c>
      <c r="W6" s="52">
        <v>0.113186</v>
      </c>
      <c r="X6" s="52">
        <v>0.556751</v>
      </c>
      <c r="Y6" s="52">
        <v>0</v>
      </c>
      <c r="Z6" s="52">
        <v>0</v>
      </c>
      <c r="AA6" s="82">
        <v>6</v>
      </c>
      <c r="AB6" s="82"/>
      <c r="AC6" s="98"/>
      <c r="AD6" s="85" t="s">
        <v>257</v>
      </c>
      <c r="AE6" s="85">
        <v>389</v>
      </c>
      <c r="AF6" s="85">
        <v>118</v>
      </c>
      <c r="AG6" s="85">
        <v>605</v>
      </c>
      <c r="AH6" s="85">
        <v>757</v>
      </c>
      <c r="AI6" s="85"/>
      <c r="AJ6" s="85" t="s">
        <v>263</v>
      </c>
      <c r="AK6" s="85" t="s">
        <v>268</v>
      </c>
      <c r="AL6" s="85"/>
      <c r="AM6" s="85"/>
      <c r="AN6" s="87">
        <v>40138.319016203706</v>
      </c>
      <c r="AO6" s="89" t="s">
        <v>280</v>
      </c>
      <c r="AP6" s="85" t="b">
        <v>1</v>
      </c>
      <c r="AQ6" s="85" t="b">
        <v>0</v>
      </c>
      <c r="AR6" s="85" t="b">
        <v>1</v>
      </c>
      <c r="AS6" s="85"/>
      <c r="AT6" s="85">
        <v>3</v>
      </c>
      <c r="AU6" s="89" t="s">
        <v>283</v>
      </c>
      <c r="AV6" s="85" t="b">
        <v>0</v>
      </c>
      <c r="AW6" s="85" t="s">
        <v>290</v>
      </c>
      <c r="AX6" s="89" t="s">
        <v>294</v>
      </c>
      <c r="AY6" s="85" t="s">
        <v>65</v>
      </c>
      <c r="AZ6" s="85" t="str">
        <f>REPLACE(INDEX(GroupVertices[Group],MATCH(Vertices[[#This Row],[Vertex]],GroupVertices[Vertex],0)),1,1,"")</f>
        <v>1</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217</v>
      </c>
      <c r="B7" s="15"/>
      <c r="C7" s="15" t="s">
        <v>64</v>
      </c>
      <c r="D7" s="93">
        <v>205.2192640617995</v>
      </c>
      <c r="E7" s="81"/>
      <c r="F7" s="112" t="s">
        <v>289</v>
      </c>
      <c r="G7" s="15"/>
      <c r="H7" s="16" t="s">
        <v>217</v>
      </c>
      <c r="I7" s="66"/>
      <c r="J7" s="66"/>
      <c r="K7" s="114" t="s">
        <v>301</v>
      </c>
      <c r="L7" s="94">
        <v>1</v>
      </c>
      <c r="M7" s="95">
        <v>8267.529296875</v>
      </c>
      <c r="N7" s="95">
        <v>7322.796875</v>
      </c>
      <c r="O7" s="77"/>
      <c r="P7" s="96"/>
      <c r="Q7" s="96"/>
      <c r="R7" s="97"/>
      <c r="S7" s="51">
        <v>2</v>
      </c>
      <c r="T7" s="51">
        <v>0</v>
      </c>
      <c r="U7" s="52">
        <v>0</v>
      </c>
      <c r="V7" s="52">
        <v>0.125</v>
      </c>
      <c r="W7" s="52">
        <v>0.187939</v>
      </c>
      <c r="X7" s="52">
        <v>0.96825</v>
      </c>
      <c r="Y7" s="52">
        <v>1</v>
      </c>
      <c r="Z7" s="52">
        <v>0</v>
      </c>
      <c r="AA7" s="82">
        <v>7</v>
      </c>
      <c r="AB7" s="82"/>
      <c r="AC7" s="98"/>
      <c r="AD7" s="85" t="s">
        <v>258</v>
      </c>
      <c r="AE7" s="85">
        <v>1113</v>
      </c>
      <c r="AF7" s="85">
        <v>3109</v>
      </c>
      <c r="AG7" s="85">
        <v>2158</v>
      </c>
      <c r="AH7" s="85">
        <v>707</v>
      </c>
      <c r="AI7" s="85"/>
      <c r="AJ7" s="85" t="s">
        <v>264</v>
      </c>
      <c r="AK7" s="85" t="s">
        <v>269</v>
      </c>
      <c r="AL7" s="89" t="s">
        <v>274</v>
      </c>
      <c r="AM7" s="85"/>
      <c r="AN7" s="87">
        <v>39756.66359953704</v>
      </c>
      <c r="AO7" s="89" t="s">
        <v>281</v>
      </c>
      <c r="AP7" s="85" t="b">
        <v>0</v>
      </c>
      <c r="AQ7" s="85" t="b">
        <v>0</v>
      </c>
      <c r="AR7" s="85" t="b">
        <v>1</v>
      </c>
      <c r="AS7" s="85"/>
      <c r="AT7" s="85">
        <v>148</v>
      </c>
      <c r="AU7" s="89" t="s">
        <v>283</v>
      </c>
      <c r="AV7" s="85" t="b">
        <v>1</v>
      </c>
      <c r="AW7" s="85" t="s">
        <v>290</v>
      </c>
      <c r="AX7" s="89" t="s">
        <v>295</v>
      </c>
      <c r="AY7" s="85" t="s">
        <v>65</v>
      </c>
      <c r="AZ7" s="85" t="str">
        <f>REPLACE(INDEX(GroupVertices[Group],MATCH(Vertices[[#This Row],[Vertex]],GroupVertices[Vertex],0)),1,1,"")</f>
        <v>2</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99" t="s">
        <v>213</v>
      </c>
      <c r="B8" s="100"/>
      <c r="C8" s="100" t="s">
        <v>64</v>
      </c>
      <c r="D8" s="101">
        <v>244.91278408111185</v>
      </c>
      <c r="E8" s="102"/>
      <c r="F8" s="113" t="s">
        <v>224</v>
      </c>
      <c r="G8" s="100"/>
      <c r="H8" s="103" t="s">
        <v>213</v>
      </c>
      <c r="I8" s="104"/>
      <c r="J8" s="104"/>
      <c r="K8" s="115" t="s">
        <v>302</v>
      </c>
      <c r="L8" s="105">
        <v>1</v>
      </c>
      <c r="M8" s="106">
        <v>8267.529296875</v>
      </c>
      <c r="N8" s="106">
        <v>2676.202880859375</v>
      </c>
      <c r="O8" s="107"/>
      <c r="P8" s="108"/>
      <c r="Q8" s="108"/>
      <c r="R8" s="109"/>
      <c r="S8" s="51">
        <v>1</v>
      </c>
      <c r="T8" s="51">
        <v>2</v>
      </c>
      <c r="U8" s="52">
        <v>0</v>
      </c>
      <c r="V8" s="52">
        <v>0.125</v>
      </c>
      <c r="W8" s="52">
        <v>0.187939</v>
      </c>
      <c r="X8" s="52">
        <v>0.96825</v>
      </c>
      <c r="Y8" s="52">
        <v>0.5</v>
      </c>
      <c r="Z8" s="52">
        <v>0.5</v>
      </c>
      <c r="AA8" s="110">
        <v>8</v>
      </c>
      <c r="AB8" s="110"/>
      <c r="AC8" s="111"/>
      <c r="AD8" s="85" t="s">
        <v>259</v>
      </c>
      <c r="AE8" s="85">
        <v>3916</v>
      </c>
      <c r="AF8" s="85">
        <v>5856</v>
      </c>
      <c r="AG8" s="85">
        <v>1721</v>
      </c>
      <c r="AH8" s="85">
        <v>8809</v>
      </c>
      <c r="AI8" s="85"/>
      <c r="AJ8" s="85" t="s">
        <v>265</v>
      </c>
      <c r="AK8" s="85" t="s">
        <v>270</v>
      </c>
      <c r="AL8" s="89" t="s">
        <v>275</v>
      </c>
      <c r="AM8" s="85"/>
      <c r="AN8" s="87">
        <v>40247.93883101852</v>
      </c>
      <c r="AO8" s="89" t="s">
        <v>282</v>
      </c>
      <c r="AP8" s="85" t="b">
        <v>0</v>
      </c>
      <c r="AQ8" s="85" t="b">
        <v>0</v>
      </c>
      <c r="AR8" s="85" t="b">
        <v>1</v>
      </c>
      <c r="AS8" s="85"/>
      <c r="AT8" s="85">
        <v>124</v>
      </c>
      <c r="AU8" s="89" t="s">
        <v>285</v>
      </c>
      <c r="AV8" s="85" t="b">
        <v>0</v>
      </c>
      <c r="AW8" s="85" t="s">
        <v>290</v>
      </c>
      <c r="AX8" s="89" t="s">
        <v>296</v>
      </c>
      <c r="AY8" s="85" t="s">
        <v>66</v>
      </c>
      <c r="AZ8" s="85" t="str">
        <f>REPLACE(INDEX(GroupVertices[Group],MATCH(Vertices[[#This Row],[Vertex]],GroupVertices[Vertex],0)),1,1,"")</f>
        <v>2</v>
      </c>
      <c r="BA8" s="51"/>
      <c r="BB8" s="51"/>
      <c r="BC8" s="51"/>
      <c r="BD8" s="51"/>
      <c r="BE8" s="51" t="s">
        <v>222</v>
      </c>
      <c r="BF8" s="51" t="s">
        <v>222</v>
      </c>
      <c r="BG8" s="128" t="s">
        <v>423</v>
      </c>
      <c r="BH8" s="128" t="s">
        <v>423</v>
      </c>
      <c r="BI8" s="128" t="s">
        <v>427</v>
      </c>
      <c r="BJ8" s="128" t="s">
        <v>427</v>
      </c>
      <c r="BK8" s="128">
        <v>1</v>
      </c>
      <c r="BL8" s="131">
        <v>4.166666666666667</v>
      </c>
      <c r="BM8" s="128">
        <v>0</v>
      </c>
      <c r="BN8" s="131">
        <v>0</v>
      </c>
      <c r="BO8" s="128">
        <v>0</v>
      </c>
      <c r="BP8" s="131">
        <v>0</v>
      </c>
      <c r="BQ8" s="128">
        <v>23</v>
      </c>
      <c r="BR8" s="131">
        <v>95.83333333333333</v>
      </c>
      <c r="BS8" s="128">
        <v>24</v>
      </c>
      <c r="BT8" s="2"/>
      <c r="BU8" s="3"/>
      <c r="BV8" s="3"/>
      <c r="BW8" s="3"/>
      <c r="BX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hyperlinks>
    <hyperlink ref="AL3" r:id="rId1" display="https://t.co/i88DZt7LaQ"/>
    <hyperlink ref="AL4" r:id="rId2" display="http://t.co/By3A8hWwwZ"/>
    <hyperlink ref="AL5" r:id="rId3" display="http://www.theblackkeys.com/"/>
    <hyperlink ref="AL7" r:id="rId4" display="http://t.co/7GiSmB92Fw"/>
    <hyperlink ref="AL8" r:id="rId5" display="https://t.co/Y0GIkmE8MV"/>
    <hyperlink ref="AO3" r:id="rId6" display="https://pbs.twimg.com/profile_banners/770729895374708736/1558753244"/>
    <hyperlink ref="AO4" r:id="rId7" display="https://pbs.twimg.com/profile_banners/131003583/1422939982"/>
    <hyperlink ref="AO5" r:id="rId8" display="https://pbs.twimg.com/profile_banners/119875281/1396293089"/>
    <hyperlink ref="AO6" r:id="rId9" display="https://pbs.twimg.com/profile_banners/91526478/1482045108"/>
    <hyperlink ref="AO7" r:id="rId10" display="https://pbs.twimg.com/profile_banners/17159147/1376327969"/>
    <hyperlink ref="AO8" r:id="rId11" display="https://pbs.twimg.com/profile_banners/121881387/1428812985"/>
    <hyperlink ref="AU3" r:id="rId12" display="http://abs.twimg.com/images/themes/theme1/bg.png"/>
    <hyperlink ref="AU4" r:id="rId13" display="http://abs.twimg.com/images/themes/theme1/bg.png"/>
    <hyperlink ref="AU5" r:id="rId14" display="http://pbs.twimg.com/profile_background_images/450712276421472256/o3KTGePi.png"/>
    <hyperlink ref="AU6" r:id="rId15" display="http://abs.twimg.com/images/themes/theme1/bg.png"/>
    <hyperlink ref="AU7" r:id="rId16" display="http://abs.twimg.com/images/themes/theme1/bg.png"/>
    <hyperlink ref="AU8" r:id="rId17" display="http://abs.twimg.com/images/themes/theme10/bg.gif"/>
    <hyperlink ref="F3" r:id="rId18" display="http://pbs.twimg.com/profile_images/1154453407144370177/ke6hZ2in_normal.jpg"/>
    <hyperlink ref="F4" r:id="rId19" display="http://pbs.twimg.com/profile_images/544945516547551232/wgyeoQFc_normal.jpeg"/>
    <hyperlink ref="F5" r:id="rId20" display="http://pbs.twimg.com/profile_images/448187550084001792/J7_bm7JV_normal.png"/>
    <hyperlink ref="F6" r:id="rId21" display="http://pbs.twimg.com/profile_images/483139257008017408/vhUoshjo_normal.jpeg"/>
    <hyperlink ref="F7" r:id="rId22" display="http://pbs.twimg.com/profile_images/656934081385500673/J5wHhpfP_normal.jpg"/>
    <hyperlink ref="F8" r:id="rId23" display="http://pbs.twimg.com/profile_images/1079374662763724801/tvIDz9T-_normal.jpg"/>
    <hyperlink ref="AX3" r:id="rId24" display="https://twitter.com/koltaikolina"/>
    <hyperlink ref="AX4" r:id="rId25" display="https://twitter.com/modestmouseband"/>
    <hyperlink ref="AX5" r:id="rId26" display="https://twitter.com/theblackkeys"/>
    <hyperlink ref="AX6" r:id="rId27" display="https://twitter.com/meganmrim"/>
    <hyperlink ref="AX7" r:id="rId28" display="https://twitter.com/utischool"/>
    <hyperlink ref="AX8" r:id="rId29" display="https://twitter.com/saviaga"/>
  </hyperlinks>
  <printOptions/>
  <pageMargins left="0.7" right="0.7" top="0.75" bottom="0.75" header="0.3" footer="0.3"/>
  <pageSetup horizontalDpi="600" verticalDpi="600" orientation="portrait" r:id="rId33"/>
  <legacyDrawing r:id="rId31"/>
  <tableParts>
    <tablePart r:id="rId3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355</v>
      </c>
      <c r="Z2" s="13" t="s">
        <v>359</v>
      </c>
      <c r="AA2" s="13" t="s">
        <v>367</v>
      </c>
      <c r="AB2" s="13" t="s">
        <v>382</v>
      </c>
      <c r="AC2" s="13" t="s">
        <v>398</v>
      </c>
      <c r="AD2" s="13" t="s">
        <v>405</v>
      </c>
      <c r="AE2" s="13" t="s">
        <v>406</v>
      </c>
      <c r="AF2" s="13" t="s">
        <v>412</v>
      </c>
      <c r="AG2" s="67" t="s">
        <v>451</v>
      </c>
      <c r="AH2" s="67" t="s">
        <v>452</v>
      </c>
      <c r="AI2" s="67" t="s">
        <v>453</v>
      </c>
      <c r="AJ2" s="67" t="s">
        <v>454</v>
      </c>
      <c r="AK2" s="67" t="s">
        <v>455</v>
      </c>
      <c r="AL2" s="67" t="s">
        <v>456</v>
      </c>
      <c r="AM2" s="67" t="s">
        <v>457</v>
      </c>
      <c r="AN2" s="67" t="s">
        <v>458</v>
      </c>
      <c r="AO2" s="67" t="s">
        <v>461</v>
      </c>
    </row>
    <row r="3" spans="1:41" ht="15">
      <c r="A3" s="125" t="s">
        <v>342</v>
      </c>
      <c r="B3" s="126" t="s">
        <v>344</v>
      </c>
      <c r="C3" s="126" t="s">
        <v>56</v>
      </c>
      <c r="D3" s="117"/>
      <c r="E3" s="116"/>
      <c r="F3" s="118" t="s">
        <v>500</v>
      </c>
      <c r="G3" s="119"/>
      <c r="H3" s="119"/>
      <c r="I3" s="120">
        <v>3</v>
      </c>
      <c r="J3" s="121"/>
      <c r="K3" s="51">
        <v>4</v>
      </c>
      <c r="L3" s="51">
        <v>3</v>
      </c>
      <c r="M3" s="51">
        <v>0</v>
      </c>
      <c r="N3" s="51">
        <v>3</v>
      </c>
      <c r="O3" s="51">
        <v>0</v>
      </c>
      <c r="P3" s="52">
        <v>0</v>
      </c>
      <c r="Q3" s="52">
        <v>0</v>
      </c>
      <c r="R3" s="51">
        <v>1</v>
      </c>
      <c r="S3" s="51">
        <v>0</v>
      </c>
      <c r="T3" s="51">
        <v>4</v>
      </c>
      <c r="U3" s="51">
        <v>3</v>
      </c>
      <c r="V3" s="51">
        <v>2</v>
      </c>
      <c r="W3" s="52">
        <v>1.125</v>
      </c>
      <c r="X3" s="52">
        <v>0.25</v>
      </c>
      <c r="Y3" s="85"/>
      <c r="Z3" s="85"/>
      <c r="AA3" s="85" t="s">
        <v>221</v>
      </c>
      <c r="AB3" s="91" t="s">
        <v>383</v>
      </c>
      <c r="AC3" s="91" t="s">
        <v>396</v>
      </c>
      <c r="AD3" s="91"/>
      <c r="AE3" s="91" t="s">
        <v>407</v>
      </c>
      <c r="AF3" s="91" t="s">
        <v>413</v>
      </c>
      <c r="AG3" s="128">
        <v>1</v>
      </c>
      <c r="AH3" s="131">
        <v>2.2222222222222223</v>
      </c>
      <c r="AI3" s="128">
        <v>0</v>
      </c>
      <c r="AJ3" s="131">
        <v>0</v>
      </c>
      <c r="AK3" s="128">
        <v>0</v>
      </c>
      <c r="AL3" s="131">
        <v>0</v>
      </c>
      <c r="AM3" s="128">
        <v>44</v>
      </c>
      <c r="AN3" s="131">
        <v>97.77777777777777</v>
      </c>
      <c r="AO3" s="128">
        <v>45</v>
      </c>
    </row>
    <row r="4" spans="1:41" ht="15">
      <c r="A4" s="125" t="s">
        <v>343</v>
      </c>
      <c r="B4" s="126" t="s">
        <v>345</v>
      </c>
      <c r="C4" s="126" t="s">
        <v>56</v>
      </c>
      <c r="D4" s="122"/>
      <c r="E4" s="100"/>
      <c r="F4" s="103" t="s">
        <v>343</v>
      </c>
      <c r="G4" s="107"/>
      <c r="H4" s="107"/>
      <c r="I4" s="123">
        <v>4</v>
      </c>
      <c r="J4" s="110"/>
      <c r="K4" s="51">
        <v>2</v>
      </c>
      <c r="L4" s="51">
        <v>1</v>
      </c>
      <c r="M4" s="51">
        <v>0</v>
      </c>
      <c r="N4" s="51">
        <v>1</v>
      </c>
      <c r="O4" s="51">
        <v>0</v>
      </c>
      <c r="P4" s="52">
        <v>0</v>
      </c>
      <c r="Q4" s="52">
        <v>0</v>
      </c>
      <c r="R4" s="51">
        <v>1</v>
      </c>
      <c r="S4" s="51">
        <v>0</v>
      </c>
      <c r="T4" s="51">
        <v>2</v>
      </c>
      <c r="U4" s="51">
        <v>1</v>
      </c>
      <c r="V4" s="51">
        <v>1</v>
      </c>
      <c r="W4" s="52">
        <v>0.5</v>
      </c>
      <c r="X4" s="52">
        <v>0.5</v>
      </c>
      <c r="Y4" s="85"/>
      <c r="Z4" s="85"/>
      <c r="AA4" s="85" t="s">
        <v>222</v>
      </c>
      <c r="AB4" s="91" t="s">
        <v>229</v>
      </c>
      <c r="AC4" s="91" t="s">
        <v>229</v>
      </c>
      <c r="AD4" s="91"/>
      <c r="AE4" s="91" t="s">
        <v>408</v>
      </c>
      <c r="AF4" s="91" t="s">
        <v>414</v>
      </c>
      <c r="AG4" s="128">
        <v>1</v>
      </c>
      <c r="AH4" s="131">
        <v>4.166666666666667</v>
      </c>
      <c r="AI4" s="128">
        <v>0</v>
      </c>
      <c r="AJ4" s="131">
        <v>0</v>
      </c>
      <c r="AK4" s="128">
        <v>0</v>
      </c>
      <c r="AL4" s="131">
        <v>0</v>
      </c>
      <c r="AM4" s="128">
        <v>23</v>
      </c>
      <c r="AN4" s="131">
        <v>95.83333333333333</v>
      </c>
      <c r="AO4" s="128">
        <v>24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342</v>
      </c>
      <c r="B2" s="91" t="s">
        <v>212</v>
      </c>
      <c r="C2" s="85">
        <f>VLOOKUP(GroupVertices[[#This Row],[Vertex]],Vertices[],MATCH("ID",Vertices[[#Headers],[Vertex]:[Vertex Content Word Count]],0),FALSE)</f>
        <v>3</v>
      </c>
    </row>
    <row r="3" spans="1:3" ht="15">
      <c r="A3" s="85" t="s">
        <v>342</v>
      </c>
      <c r="B3" s="91" t="s">
        <v>216</v>
      </c>
      <c r="C3" s="85">
        <f>VLOOKUP(GroupVertices[[#This Row],[Vertex]],Vertices[],MATCH("ID",Vertices[[#Headers],[Vertex]:[Vertex Content Word Count]],0),FALSE)</f>
        <v>6</v>
      </c>
    </row>
    <row r="4" spans="1:3" ht="15">
      <c r="A4" s="85" t="s">
        <v>342</v>
      </c>
      <c r="B4" s="91" t="s">
        <v>215</v>
      </c>
      <c r="C4" s="85">
        <f>VLOOKUP(GroupVertices[[#This Row],[Vertex]],Vertices[],MATCH("ID",Vertices[[#Headers],[Vertex]:[Vertex Content Word Count]],0),FALSE)</f>
        <v>5</v>
      </c>
    </row>
    <row r="5" spans="1:3" ht="15">
      <c r="A5" s="85" t="s">
        <v>342</v>
      </c>
      <c r="B5" s="91" t="s">
        <v>214</v>
      </c>
      <c r="C5" s="85">
        <f>VLOOKUP(GroupVertices[[#This Row],[Vertex]],Vertices[],MATCH("ID",Vertices[[#Headers],[Vertex]:[Vertex Content Word Count]],0),FALSE)</f>
        <v>4</v>
      </c>
    </row>
    <row r="6" spans="1:3" ht="15">
      <c r="A6" s="85" t="s">
        <v>343</v>
      </c>
      <c r="B6" s="91" t="s">
        <v>213</v>
      </c>
      <c r="C6" s="85">
        <f>VLOOKUP(GroupVertices[[#This Row],[Vertex]],Vertices[],MATCH("ID",Vertices[[#Headers],[Vertex]:[Vertex Content Word Count]],0),FALSE)</f>
        <v>8</v>
      </c>
    </row>
    <row r="7" spans="1:3" ht="15">
      <c r="A7" s="85" t="s">
        <v>343</v>
      </c>
      <c r="B7" s="91" t="s">
        <v>217</v>
      </c>
      <c r="C7" s="85">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2"/>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465</v>
      </c>
      <c r="B2" s="36" t="s">
        <v>303</v>
      </c>
      <c r="D2" s="33">
        <f>MIN(Vertices[Degree])</f>
        <v>0</v>
      </c>
      <c r="E2" s="3">
        <f>COUNTIF(Vertices[Degree],"&gt;= "&amp;D2)-COUNTIF(Vertices[Degree],"&gt;="&amp;D3)</f>
        <v>0</v>
      </c>
      <c r="F2" s="39">
        <f>MIN(Vertices[In-Degree])</f>
        <v>1</v>
      </c>
      <c r="G2" s="40">
        <f>COUNTIF(Vertices[In-Degree],"&gt;= "&amp;F2)-COUNTIF(Vertices[In-Degree],"&gt;="&amp;F3)</f>
        <v>5</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5</v>
      </c>
      <c r="L2" s="39">
        <f>MIN(Vertices[Closeness Centrality])</f>
        <v>0.111111</v>
      </c>
      <c r="M2" s="40">
        <f>COUNTIF(Vertices[Closeness Centrality],"&gt;= "&amp;L2)-COUNTIF(Vertices[Closeness Centrality],"&gt;="&amp;L3)</f>
        <v>3</v>
      </c>
      <c r="N2" s="39">
        <f>MIN(Vertices[Eigenvector Centrality])</f>
        <v>0.113186</v>
      </c>
      <c r="O2" s="40">
        <f>COUNTIF(Vertices[Eigenvector Centrality],"&gt;= "&amp;N2)-COUNTIF(Vertices[Eigenvector Centrality],"&gt;="&amp;N3)</f>
        <v>3</v>
      </c>
      <c r="P2" s="39">
        <f>MIN(Vertices[PageRank])</f>
        <v>0.556751</v>
      </c>
      <c r="Q2" s="40">
        <f>COUNTIF(Vertices[PageRank],"&gt;= "&amp;P2)-COUNTIF(Vertices[PageRank],"&gt;="&amp;P3)</f>
        <v>3</v>
      </c>
      <c r="R2" s="39">
        <f>MIN(Vertices[Clustering Coefficient])</f>
        <v>0</v>
      </c>
      <c r="S2" s="45">
        <f>COUNTIF(Vertices[Clustering Coefficient],"&gt;= "&amp;R2)-COUNTIF(Vertices[Clustering Coefficient],"&gt;="&amp;R3)</f>
        <v>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1.018181818181818</v>
      </c>
      <c r="G3" s="42">
        <f>COUNTIF(Vertices[In-Degree],"&gt;= "&amp;F3)-COUNTIF(Vertices[In-Degree],"&gt;="&amp;F4)</f>
        <v>0</v>
      </c>
      <c r="H3" s="41">
        <f aca="true" t="shared" si="3" ref="H3:H26">H2+($H$57-$H$2)/BinDivisor</f>
        <v>0.09090909090909091</v>
      </c>
      <c r="I3" s="42">
        <f>COUNTIF(Vertices[Out-Degree],"&gt;= "&amp;H3)-COUNTIF(Vertices[Out-Degree],"&gt;="&amp;H4)</f>
        <v>0</v>
      </c>
      <c r="J3" s="41">
        <f aca="true" t="shared" si="4" ref="J3:J26">J2+($J$57-$J$2)/BinDivisor</f>
        <v>0.32727272727272727</v>
      </c>
      <c r="K3" s="42">
        <f>COUNTIF(Vertices[Betweenness Centrality],"&gt;= "&amp;J3)-COUNTIF(Vertices[Betweenness Centrality],"&gt;="&amp;J4)</f>
        <v>0</v>
      </c>
      <c r="L3" s="41">
        <f aca="true" t="shared" si="5" ref="L3:L26">L2+($L$57-$L$2)/BinDivisor</f>
        <v>0.11272716363636363</v>
      </c>
      <c r="M3" s="42">
        <f>COUNTIF(Vertices[Closeness Centrality],"&gt;= "&amp;L3)-COUNTIF(Vertices[Closeness Centrality],"&gt;="&amp;L4)</f>
        <v>0</v>
      </c>
      <c r="N3" s="41">
        <f aca="true" t="shared" si="6" ref="N3:N26">N2+($N$57-$N$2)/BinDivisor</f>
        <v>0.11630198181818181</v>
      </c>
      <c r="O3" s="42">
        <f>COUNTIF(Vertices[Eigenvector Centrality],"&gt;= "&amp;N3)-COUNTIF(Vertices[Eigenvector Centrality],"&gt;="&amp;N4)</f>
        <v>0</v>
      </c>
      <c r="P3" s="41">
        <f aca="true" t="shared" si="7" ref="P3:P26">P2+($P$57-$P$2)/BinDivisor</f>
        <v>0.5901317272727272</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1.0363636363636362</v>
      </c>
      <c r="G4" s="40">
        <f>COUNTIF(Vertices[In-Degree],"&gt;= "&amp;F4)-COUNTIF(Vertices[In-Degree],"&gt;="&amp;F5)</f>
        <v>0</v>
      </c>
      <c r="H4" s="39">
        <f t="shared" si="3"/>
        <v>0.18181818181818182</v>
      </c>
      <c r="I4" s="40">
        <f>COUNTIF(Vertices[Out-Degree],"&gt;= "&amp;H4)-COUNTIF(Vertices[Out-Degree],"&gt;="&amp;H5)</f>
        <v>0</v>
      </c>
      <c r="J4" s="39">
        <f t="shared" si="4"/>
        <v>0.6545454545454545</v>
      </c>
      <c r="K4" s="40">
        <f>COUNTIF(Vertices[Betweenness Centrality],"&gt;= "&amp;J4)-COUNTIF(Vertices[Betweenness Centrality],"&gt;="&amp;J5)</f>
        <v>0</v>
      </c>
      <c r="L4" s="39">
        <f t="shared" si="5"/>
        <v>0.11434332727272727</v>
      </c>
      <c r="M4" s="40">
        <f>COUNTIF(Vertices[Closeness Centrality],"&gt;= "&amp;L4)-COUNTIF(Vertices[Closeness Centrality],"&gt;="&amp;L5)</f>
        <v>0</v>
      </c>
      <c r="N4" s="39">
        <f t="shared" si="6"/>
        <v>0.11941796363636363</v>
      </c>
      <c r="O4" s="40">
        <f>COUNTIF(Vertices[Eigenvector Centrality],"&gt;= "&amp;N4)-COUNTIF(Vertices[Eigenvector Centrality],"&gt;="&amp;N5)</f>
        <v>0</v>
      </c>
      <c r="P4" s="39">
        <f t="shared" si="7"/>
        <v>0.6235124545454545</v>
      </c>
      <c r="Q4" s="40">
        <f>COUNTIF(Vertices[PageRank],"&gt;= "&amp;P4)-COUNTIF(Vertices[PageRank],"&gt;="&amp;P5)</f>
        <v>0</v>
      </c>
      <c r="R4" s="39">
        <f t="shared" si="8"/>
        <v>0.03636363636363636</v>
      </c>
      <c r="S4" s="45">
        <f>COUNTIF(Vertices[Clustering Coefficient],"&gt;= "&amp;R4)-COUNTIF(Vertices[Clustering Coefficient],"&gt;="&amp;R5)</f>
        <v>1</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1.0545454545454542</v>
      </c>
      <c r="G5" s="42">
        <f>COUNTIF(Vertices[In-Degree],"&gt;= "&amp;F5)-COUNTIF(Vertices[In-Degree],"&gt;="&amp;F6)</f>
        <v>0</v>
      </c>
      <c r="H5" s="41">
        <f t="shared" si="3"/>
        <v>0.2727272727272727</v>
      </c>
      <c r="I5" s="42">
        <f>COUNTIF(Vertices[Out-Degree],"&gt;= "&amp;H5)-COUNTIF(Vertices[Out-Degree],"&gt;="&amp;H6)</f>
        <v>0</v>
      </c>
      <c r="J5" s="41">
        <f t="shared" si="4"/>
        <v>0.9818181818181818</v>
      </c>
      <c r="K5" s="42">
        <f>COUNTIF(Vertices[Betweenness Centrality],"&gt;= "&amp;J5)-COUNTIF(Vertices[Betweenness Centrality],"&gt;="&amp;J6)</f>
        <v>0</v>
      </c>
      <c r="L5" s="41">
        <f t="shared" si="5"/>
        <v>0.1159594909090909</v>
      </c>
      <c r="M5" s="42">
        <f>COUNTIF(Vertices[Closeness Centrality],"&gt;= "&amp;L5)-COUNTIF(Vertices[Closeness Centrality],"&gt;="&amp;L6)</f>
        <v>0</v>
      </c>
      <c r="N5" s="41">
        <f t="shared" si="6"/>
        <v>0.12253394545454545</v>
      </c>
      <c r="O5" s="42">
        <f>COUNTIF(Vertices[Eigenvector Centrality],"&gt;= "&amp;N5)-COUNTIF(Vertices[Eigenvector Centrality],"&gt;="&amp;N6)</f>
        <v>0</v>
      </c>
      <c r="P5" s="41">
        <f t="shared" si="7"/>
        <v>0.6568931818181817</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1.0727272727272723</v>
      </c>
      <c r="G6" s="40">
        <f>COUNTIF(Vertices[In-Degree],"&gt;= "&amp;F6)-COUNTIF(Vertices[In-Degree],"&gt;="&amp;F7)</f>
        <v>0</v>
      </c>
      <c r="H6" s="39">
        <f t="shared" si="3"/>
        <v>0.36363636363636365</v>
      </c>
      <c r="I6" s="40">
        <f>COUNTIF(Vertices[Out-Degree],"&gt;= "&amp;H6)-COUNTIF(Vertices[Out-Degree],"&gt;="&amp;H7)</f>
        <v>0</v>
      </c>
      <c r="J6" s="39">
        <f t="shared" si="4"/>
        <v>1.309090909090909</v>
      </c>
      <c r="K6" s="40">
        <f>COUNTIF(Vertices[Betweenness Centrality],"&gt;= "&amp;J6)-COUNTIF(Vertices[Betweenness Centrality],"&gt;="&amp;J7)</f>
        <v>0</v>
      </c>
      <c r="L6" s="39">
        <f t="shared" si="5"/>
        <v>0.11757565454545453</v>
      </c>
      <c r="M6" s="40">
        <f>COUNTIF(Vertices[Closeness Centrality],"&gt;= "&amp;L6)-COUNTIF(Vertices[Closeness Centrality],"&gt;="&amp;L7)</f>
        <v>0</v>
      </c>
      <c r="N6" s="39">
        <f t="shared" si="6"/>
        <v>0.12564992727272728</v>
      </c>
      <c r="O6" s="40">
        <f>COUNTIF(Vertices[Eigenvector Centrality],"&gt;= "&amp;N6)-COUNTIF(Vertices[Eigenvector Centrality],"&gt;="&amp;N7)</f>
        <v>0</v>
      </c>
      <c r="P6" s="39">
        <f t="shared" si="7"/>
        <v>0.6902739090909089</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1.0909090909090904</v>
      </c>
      <c r="G7" s="42">
        <f>COUNTIF(Vertices[In-Degree],"&gt;= "&amp;F7)-COUNTIF(Vertices[In-Degree],"&gt;="&amp;F8)</f>
        <v>0</v>
      </c>
      <c r="H7" s="41">
        <f t="shared" si="3"/>
        <v>0.4545454545454546</v>
      </c>
      <c r="I7" s="42">
        <f>COUNTIF(Vertices[Out-Degree],"&gt;= "&amp;H7)-COUNTIF(Vertices[Out-Degree],"&gt;="&amp;H8)</f>
        <v>0</v>
      </c>
      <c r="J7" s="41">
        <f t="shared" si="4"/>
        <v>1.6363636363636362</v>
      </c>
      <c r="K7" s="42">
        <f>COUNTIF(Vertices[Betweenness Centrality],"&gt;= "&amp;J7)-COUNTIF(Vertices[Betweenness Centrality],"&gt;="&amp;J8)</f>
        <v>0</v>
      </c>
      <c r="L7" s="41">
        <f t="shared" si="5"/>
        <v>0.11919181818181816</v>
      </c>
      <c r="M7" s="42">
        <f>COUNTIF(Vertices[Closeness Centrality],"&gt;= "&amp;L7)-COUNTIF(Vertices[Closeness Centrality],"&gt;="&amp;L8)</f>
        <v>0</v>
      </c>
      <c r="N7" s="41">
        <f t="shared" si="6"/>
        <v>0.1287659090909091</v>
      </c>
      <c r="O7" s="42">
        <f>COUNTIF(Vertices[Eigenvector Centrality],"&gt;= "&amp;N7)-COUNTIF(Vertices[Eigenvector Centrality],"&gt;="&amp;N8)</f>
        <v>0</v>
      </c>
      <c r="P7" s="41">
        <f t="shared" si="7"/>
        <v>0.7236546363636361</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7</v>
      </c>
      <c r="D8" s="34">
        <f t="shared" si="1"/>
        <v>0</v>
      </c>
      <c r="E8" s="3">
        <f>COUNTIF(Vertices[Degree],"&gt;= "&amp;D8)-COUNTIF(Vertices[Degree],"&gt;="&amp;D9)</f>
        <v>0</v>
      </c>
      <c r="F8" s="39">
        <f t="shared" si="2"/>
        <v>1.1090909090909085</v>
      </c>
      <c r="G8" s="40">
        <f>COUNTIF(Vertices[In-Degree],"&gt;= "&amp;F8)-COUNTIF(Vertices[In-Degree],"&gt;="&amp;F9)</f>
        <v>0</v>
      </c>
      <c r="H8" s="39">
        <f t="shared" si="3"/>
        <v>0.5454545454545455</v>
      </c>
      <c r="I8" s="40">
        <f>COUNTIF(Vertices[Out-Degree],"&gt;= "&amp;H8)-COUNTIF(Vertices[Out-Degree],"&gt;="&amp;H9)</f>
        <v>0</v>
      </c>
      <c r="J8" s="39">
        <f t="shared" si="4"/>
        <v>1.9636363636363634</v>
      </c>
      <c r="K8" s="40">
        <f>COUNTIF(Vertices[Betweenness Centrality],"&gt;= "&amp;J8)-COUNTIF(Vertices[Betweenness Centrality],"&gt;="&amp;J9)</f>
        <v>0</v>
      </c>
      <c r="L8" s="39">
        <f t="shared" si="5"/>
        <v>0.1208079818181818</v>
      </c>
      <c r="M8" s="40">
        <f>COUNTIF(Vertices[Closeness Centrality],"&gt;= "&amp;L8)-COUNTIF(Vertices[Closeness Centrality],"&gt;="&amp;L9)</f>
        <v>0</v>
      </c>
      <c r="N8" s="39">
        <f t="shared" si="6"/>
        <v>0.13188189090909092</v>
      </c>
      <c r="O8" s="40">
        <f>COUNTIF(Vertices[Eigenvector Centrality],"&gt;= "&amp;N8)-COUNTIF(Vertices[Eigenvector Centrality],"&gt;="&amp;N9)</f>
        <v>0</v>
      </c>
      <c r="P8" s="39">
        <f t="shared" si="7"/>
        <v>0.7570353636363634</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1.1272727272727265</v>
      </c>
      <c r="G9" s="42">
        <f>COUNTIF(Vertices[In-Degree],"&gt;= "&amp;F9)-COUNTIF(Vertices[In-Degree],"&gt;="&amp;F10)</f>
        <v>0</v>
      </c>
      <c r="H9" s="41">
        <f t="shared" si="3"/>
        <v>0.6363636363636365</v>
      </c>
      <c r="I9" s="42">
        <f>COUNTIF(Vertices[Out-Degree],"&gt;= "&amp;H9)-COUNTIF(Vertices[Out-Degree],"&gt;="&amp;H10)</f>
        <v>0</v>
      </c>
      <c r="J9" s="41">
        <f t="shared" si="4"/>
        <v>2.2909090909090906</v>
      </c>
      <c r="K9" s="42">
        <f>COUNTIF(Vertices[Betweenness Centrality],"&gt;= "&amp;J9)-COUNTIF(Vertices[Betweenness Centrality],"&gt;="&amp;J10)</f>
        <v>0</v>
      </c>
      <c r="L9" s="41">
        <f t="shared" si="5"/>
        <v>0.12242414545454543</v>
      </c>
      <c r="M9" s="42">
        <f>COUNTIF(Vertices[Closeness Centrality],"&gt;= "&amp;L9)-COUNTIF(Vertices[Closeness Centrality],"&gt;="&amp;L10)</f>
        <v>0</v>
      </c>
      <c r="N9" s="41">
        <f t="shared" si="6"/>
        <v>0.13499787272727273</v>
      </c>
      <c r="O9" s="42">
        <f>COUNTIF(Vertices[Eigenvector Centrality],"&gt;= "&amp;N9)-COUNTIF(Vertices[Eigenvector Centrality],"&gt;="&amp;N10)</f>
        <v>0</v>
      </c>
      <c r="P9" s="41">
        <f t="shared" si="7"/>
        <v>0.7904160909090906</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466</v>
      </c>
      <c r="B10" s="36">
        <v>1</v>
      </c>
      <c r="D10" s="34">
        <f t="shared" si="1"/>
        <v>0</v>
      </c>
      <c r="E10" s="3">
        <f>COUNTIF(Vertices[Degree],"&gt;= "&amp;D10)-COUNTIF(Vertices[Degree],"&gt;="&amp;D11)</f>
        <v>0</v>
      </c>
      <c r="F10" s="39">
        <f t="shared" si="2"/>
        <v>1.1454545454545446</v>
      </c>
      <c r="G10" s="40">
        <f>COUNTIF(Vertices[In-Degree],"&gt;= "&amp;F10)-COUNTIF(Vertices[In-Degree],"&gt;="&amp;F11)</f>
        <v>0</v>
      </c>
      <c r="H10" s="39">
        <f t="shared" si="3"/>
        <v>0.7272727272727274</v>
      </c>
      <c r="I10" s="40">
        <f>COUNTIF(Vertices[Out-Degree],"&gt;= "&amp;H10)-COUNTIF(Vertices[Out-Degree],"&gt;="&amp;H11)</f>
        <v>0</v>
      </c>
      <c r="J10" s="39">
        <f t="shared" si="4"/>
        <v>2.6181818181818177</v>
      </c>
      <c r="K10" s="40">
        <f>COUNTIF(Vertices[Betweenness Centrality],"&gt;= "&amp;J10)-COUNTIF(Vertices[Betweenness Centrality],"&gt;="&amp;J11)</f>
        <v>0</v>
      </c>
      <c r="L10" s="39">
        <f t="shared" si="5"/>
        <v>0.12404030909090906</v>
      </c>
      <c r="M10" s="40">
        <f>COUNTIF(Vertices[Closeness Centrality],"&gt;= "&amp;L10)-COUNTIF(Vertices[Closeness Centrality],"&gt;="&amp;L11)</f>
        <v>2</v>
      </c>
      <c r="N10" s="39">
        <f t="shared" si="6"/>
        <v>0.13811385454545455</v>
      </c>
      <c r="O10" s="40">
        <f>COUNTIF(Vertices[Eigenvector Centrality],"&gt;= "&amp;N10)-COUNTIF(Vertices[Eigenvector Centrality],"&gt;="&amp;N11)</f>
        <v>0</v>
      </c>
      <c r="P10" s="39">
        <f t="shared" si="7"/>
        <v>0.8237968181818178</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1.1636363636363627</v>
      </c>
      <c r="G11" s="42">
        <f>COUNTIF(Vertices[In-Degree],"&gt;= "&amp;F11)-COUNTIF(Vertices[In-Degree],"&gt;="&amp;F12)</f>
        <v>0</v>
      </c>
      <c r="H11" s="41">
        <f t="shared" si="3"/>
        <v>0.8181818181818183</v>
      </c>
      <c r="I11" s="42">
        <f>COUNTIF(Vertices[Out-Degree],"&gt;= "&amp;H11)-COUNTIF(Vertices[Out-Degree],"&gt;="&amp;H12)</f>
        <v>0</v>
      </c>
      <c r="J11" s="41">
        <f t="shared" si="4"/>
        <v>2.945454545454545</v>
      </c>
      <c r="K11" s="42">
        <f>COUNTIF(Vertices[Betweenness Centrality],"&gt;= "&amp;J11)-COUNTIF(Vertices[Betweenness Centrality],"&gt;="&amp;J12)</f>
        <v>0</v>
      </c>
      <c r="L11" s="41">
        <f t="shared" si="5"/>
        <v>0.1256564727272727</v>
      </c>
      <c r="M11" s="42">
        <f>COUNTIF(Vertices[Closeness Centrality],"&gt;= "&amp;L11)-COUNTIF(Vertices[Closeness Centrality],"&gt;="&amp;L12)</f>
        <v>0</v>
      </c>
      <c r="N11" s="41">
        <f t="shared" si="6"/>
        <v>0.14122983636363637</v>
      </c>
      <c r="O11" s="42">
        <f>COUNTIF(Vertices[Eigenvector Centrality],"&gt;= "&amp;N11)-COUNTIF(Vertices[Eigenvector Centrality],"&gt;="&amp;N12)</f>
        <v>0</v>
      </c>
      <c r="P11" s="41">
        <f t="shared" si="7"/>
        <v>0.857177545454545</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218</v>
      </c>
      <c r="B12" s="36">
        <v>7</v>
      </c>
      <c r="D12" s="34">
        <f t="shared" si="1"/>
        <v>0</v>
      </c>
      <c r="E12" s="3">
        <f>COUNTIF(Vertices[Degree],"&gt;= "&amp;D12)-COUNTIF(Vertices[Degree],"&gt;="&amp;D13)</f>
        <v>0</v>
      </c>
      <c r="F12" s="39">
        <f t="shared" si="2"/>
        <v>1.1818181818181808</v>
      </c>
      <c r="G12" s="40">
        <f>COUNTIF(Vertices[In-Degree],"&gt;= "&amp;F12)-COUNTIF(Vertices[In-Degree],"&gt;="&amp;F13)</f>
        <v>0</v>
      </c>
      <c r="H12" s="39">
        <f t="shared" si="3"/>
        <v>0.9090909090909093</v>
      </c>
      <c r="I12" s="40">
        <f>COUNTIF(Vertices[Out-Degree],"&gt;= "&amp;H12)-COUNTIF(Vertices[Out-Degree],"&gt;="&amp;H13)</f>
        <v>0</v>
      </c>
      <c r="J12" s="39">
        <f t="shared" si="4"/>
        <v>3.272727272727272</v>
      </c>
      <c r="K12" s="40">
        <f>COUNTIF(Vertices[Betweenness Centrality],"&gt;= "&amp;J12)-COUNTIF(Vertices[Betweenness Centrality],"&gt;="&amp;J13)</f>
        <v>0</v>
      </c>
      <c r="L12" s="39">
        <f t="shared" si="5"/>
        <v>0.12727263636363634</v>
      </c>
      <c r="M12" s="40">
        <f>COUNTIF(Vertices[Closeness Centrality],"&gt;= "&amp;L12)-COUNTIF(Vertices[Closeness Centrality],"&gt;="&amp;L13)</f>
        <v>0</v>
      </c>
      <c r="N12" s="39">
        <f t="shared" si="6"/>
        <v>0.1443458181818182</v>
      </c>
      <c r="O12" s="40">
        <f>COUNTIF(Vertices[Eigenvector Centrality],"&gt;= "&amp;N12)-COUNTIF(Vertices[Eigenvector Centrality],"&gt;="&amp;N13)</f>
        <v>0</v>
      </c>
      <c r="P12" s="39">
        <f t="shared" si="7"/>
        <v>0.8905582727272723</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134"/>
      <c r="B13" s="134"/>
      <c r="D13" s="34">
        <f t="shared" si="1"/>
        <v>0</v>
      </c>
      <c r="E13" s="3">
        <f>COUNTIF(Vertices[Degree],"&gt;= "&amp;D13)-COUNTIF(Vertices[Degree],"&gt;="&amp;D14)</f>
        <v>0</v>
      </c>
      <c r="F13" s="41">
        <f t="shared" si="2"/>
        <v>1.1999999999999988</v>
      </c>
      <c r="G13" s="42">
        <f>COUNTIF(Vertices[In-Degree],"&gt;= "&amp;F13)-COUNTIF(Vertices[In-Degree],"&gt;="&amp;F14)</f>
        <v>0</v>
      </c>
      <c r="H13" s="41">
        <f t="shared" si="3"/>
        <v>1.0000000000000002</v>
      </c>
      <c r="I13" s="42">
        <f>COUNTIF(Vertices[Out-Degree],"&gt;= "&amp;H13)-COUNTIF(Vertices[Out-Degree],"&gt;="&amp;H14)</f>
        <v>0</v>
      </c>
      <c r="J13" s="41">
        <f t="shared" si="4"/>
        <v>3.599999999999999</v>
      </c>
      <c r="K13" s="42">
        <f>COUNTIF(Vertices[Betweenness Centrality],"&gt;= "&amp;J13)-COUNTIF(Vertices[Betweenness Centrality],"&gt;="&amp;J14)</f>
        <v>0</v>
      </c>
      <c r="L13" s="41">
        <f t="shared" si="5"/>
        <v>0.12888879999999997</v>
      </c>
      <c r="M13" s="42">
        <f>COUNTIF(Vertices[Closeness Centrality],"&gt;= "&amp;L13)-COUNTIF(Vertices[Closeness Centrality],"&gt;="&amp;L14)</f>
        <v>0</v>
      </c>
      <c r="N13" s="41">
        <f t="shared" si="6"/>
        <v>0.1474618</v>
      </c>
      <c r="O13" s="42">
        <f>COUNTIF(Vertices[Eigenvector Centrality],"&gt;= "&amp;N13)-COUNTIF(Vertices[Eigenvector Centrality],"&gt;="&amp;N14)</f>
        <v>0</v>
      </c>
      <c r="P13" s="41">
        <f t="shared" si="7"/>
        <v>0.9239389999999995</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1.218181818181817</v>
      </c>
      <c r="G14" s="40">
        <f>COUNTIF(Vertices[In-Degree],"&gt;= "&amp;F14)-COUNTIF(Vertices[In-Degree],"&gt;="&amp;F15)</f>
        <v>0</v>
      </c>
      <c r="H14" s="39">
        <f t="shared" si="3"/>
        <v>1.090909090909091</v>
      </c>
      <c r="I14" s="40">
        <f>COUNTIF(Vertices[Out-Degree],"&gt;= "&amp;H14)-COUNTIF(Vertices[Out-Degree],"&gt;="&amp;H15)</f>
        <v>0</v>
      </c>
      <c r="J14" s="39">
        <f t="shared" si="4"/>
        <v>3.9272727272727264</v>
      </c>
      <c r="K14" s="40">
        <f>COUNTIF(Vertices[Betweenness Centrality],"&gt;= "&amp;J14)-COUNTIF(Vertices[Betweenness Centrality],"&gt;="&amp;J15)</f>
        <v>0</v>
      </c>
      <c r="L14" s="39">
        <f t="shared" si="5"/>
        <v>0.1305049636363636</v>
      </c>
      <c r="M14" s="40">
        <f>COUNTIF(Vertices[Closeness Centrality],"&gt;= "&amp;L14)-COUNTIF(Vertices[Closeness Centrality],"&gt;="&amp;L15)</f>
        <v>0</v>
      </c>
      <c r="N14" s="39">
        <f t="shared" si="6"/>
        <v>0.15057778181818182</v>
      </c>
      <c r="O14" s="40">
        <f>COUNTIF(Vertices[Eigenvector Centrality],"&gt;= "&amp;N14)-COUNTIF(Vertices[Eigenvector Centrality],"&gt;="&amp;N15)</f>
        <v>0</v>
      </c>
      <c r="P14" s="39">
        <f t="shared" si="7"/>
        <v>0.9573197272727267</v>
      </c>
      <c r="Q14" s="40">
        <f>COUNTIF(Vertices[PageRank],"&gt;= "&amp;P14)-COUNTIF(Vertices[PageRank],"&gt;="&amp;P15)</f>
        <v>2</v>
      </c>
      <c r="R14" s="39">
        <f t="shared" si="8"/>
        <v>0.21818181818181823</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1.236363636363635</v>
      </c>
      <c r="G15" s="42">
        <f>COUNTIF(Vertices[In-Degree],"&gt;= "&amp;F15)-COUNTIF(Vertices[In-Degree],"&gt;="&amp;F16)</f>
        <v>0</v>
      </c>
      <c r="H15" s="41">
        <f t="shared" si="3"/>
        <v>1.1818181818181819</v>
      </c>
      <c r="I15" s="42">
        <f>COUNTIF(Vertices[Out-Degree],"&gt;= "&amp;H15)-COUNTIF(Vertices[Out-Degree],"&gt;="&amp;H16)</f>
        <v>0</v>
      </c>
      <c r="J15" s="41">
        <f t="shared" si="4"/>
        <v>4.254545454545454</v>
      </c>
      <c r="K15" s="42">
        <f>COUNTIF(Vertices[Betweenness Centrality],"&gt;= "&amp;J15)-COUNTIF(Vertices[Betweenness Centrality],"&gt;="&amp;J16)</f>
        <v>0</v>
      </c>
      <c r="L15" s="41">
        <f t="shared" si="5"/>
        <v>0.13212112727272723</v>
      </c>
      <c r="M15" s="42">
        <f>COUNTIF(Vertices[Closeness Centrality],"&gt;= "&amp;L15)-COUNTIF(Vertices[Closeness Centrality],"&gt;="&amp;L16)</f>
        <v>0</v>
      </c>
      <c r="N15" s="41">
        <f t="shared" si="6"/>
        <v>0.15369376363636364</v>
      </c>
      <c r="O15" s="42">
        <f>COUNTIF(Vertices[Eigenvector Centrality],"&gt;= "&amp;N15)-COUNTIF(Vertices[Eigenvector Centrality],"&gt;="&amp;N16)</f>
        <v>0</v>
      </c>
      <c r="P15" s="41">
        <f t="shared" si="7"/>
        <v>0.990700454545454</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170</v>
      </c>
      <c r="B16" s="36">
        <v>0.16666666666666666</v>
      </c>
      <c r="D16" s="34">
        <f t="shared" si="1"/>
        <v>0</v>
      </c>
      <c r="E16" s="3">
        <f>COUNTIF(Vertices[Degree],"&gt;= "&amp;D16)-COUNTIF(Vertices[Degree],"&gt;="&amp;D17)</f>
        <v>0</v>
      </c>
      <c r="F16" s="39">
        <f t="shared" si="2"/>
        <v>1.254545454545453</v>
      </c>
      <c r="G16" s="40">
        <f>COUNTIF(Vertices[In-Degree],"&gt;= "&amp;F16)-COUNTIF(Vertices[In-Degree],"&gt;="&amp;F17)</f>
        <v>0</v>
      </c>
      <c r="H16" s="39">
        <f t="shared" si="3"/>
        <v>1.2727272727272727</v>
      </c>
      <c r="I16" s="40">
        <f>COUNTIF(Vertices[Out-Degree],"&gt;= "&amp;H16)-COUNTIF(Vertices[Out-Degree],"&gt;="&amp;H17)</f>
        <v>0</v>
      </c>
      <c r="J16" s="39">
        <f t="shared" si="4"/>
        <v>4.581818181818181</v>
      </c>
      <c r="K16" s="40">
        <f>COUNTIF(Vertices[Betweenness Centrality],"&gt;= "&amp;J16)-COUNTIF(Vertices[Betweenness Centrality],"&gt;="&amp;J17)</f>
        <v>0</v>
      </c>
      <c r="L16" s="39">
        <f t="shared" si="5"/>
        <v>0.13373729090909087</v>
      </c>
      <c r="M16" s="40">
        <f>COUNTIF(Vertices[Closeness Centrality],"&gt;= "&amp;L16)-COUNTIF(Vertices[Closeness Centrality],"&gt;="&amp;L17)</f>
        <v>0</v>
      </c>
      <c r="N16" s="39">
        <f t="shared" si="6"/>
        <v>0.15680974545454546</v>
      </c>
      <c r="O16" s="40">
        <f>COUNTIF(Vertices[Eigenvector Centrality],"&gt;= "&amp;N16)-COUNTIF(Vertices[Eigenvector Centrality],"&gt;="&amp;N17)</f>
        <v>0</v>
      </c>
      <c r="P16" s="39">
        <f t="shared" si="7"/>
        <v>1.0240811818181812</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171</v>
      </c>
      <c r="B17" s="36">
        <v>0.2857142857142857</v>
      </c>
      <c r="D17" s="34">
        <f t="shared" si="1"/>
        <v>0</v>
      </c>
      <c r="E17" s="3">
        <f>COUNTIF(Vertices[Degree],"&gt;= "&amp;D17)-COUNTIF(Vertices[Degree],"&gt;="&amp;D18)</f>
        <v>0</v>
      </c>
      <c r="F17" s="41">
        <f t="shared" si="2"/>
        <v>1.2727272727272712</v>
      </c>
      <c r="G17" s="42">
        <f>COUNTIF(Vertices[In-Degree],"&gt;= "&amp;F17)-COUNTIF(Vertices[In-Degree],"&gt;="&amp;F18)</f>
        <v>0</v>
      </c>
      <c r="H17" s="41">
        <f t="shared" si="3"/>
        <v>1.3636363636363635</v>
      </c>
      <c r="I17" s="42">
        <f>COUNTIF(Vertices[Out-Degree],"&gt;= "&amp;H17)-COUNTIF(Vertices[Out-Degree],"&gt;="&amp;H18)</f>
        <v>0</v>
      </c>
      <c r="J17" s="41">
        <f t="shared" si="4"/>
        <v>4.909090909090908</v>
      </c>
      <c r="K17" s="42">
        <f>COUNTIF(Vertices[Betweenness Centrality],"&gt;= "&amp;J17)-COUNTIF(Vertices[Betweenness Centrality],"&gt;="&amp;J18)</f>
        <v>0</v>
      </c>
      <c r="L17" s="41">
        <f t="shared" si="5"/>
        <v>0.1353534545454545</v>
      </c>
      <c r="M17" s="42">
        <f>COUNTIF(Vertices[Closeness Centrality],"&gt;= "&amp;L17)-COUNTIF(Vertices[Closeness Centrality],"&gt;="&amp;L18)</f>
        <v>0</v>
      </c>
      <c r="N17" s="41">
        <f t="shared" si="6"/>
        <v>0.15992572727272727</v>
      </c>
      <c r="O17" s="42">
        <f>COUNTIF(Vertices[Eigenvector Centrality],"&gt;= "&amp;N17)-COUNTIF(Vertices[Eigenvector Centrality],"&gt;="&amp;N18)</f>
        <v>0</v>
      </c>
      <c r="P17" s="41">
        <f t="shared" si="7"/>
        <v>1.0574619090909085</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134"/>
      <c r="B18" s="134"/>
      <c r="D18" s="34">
        <f t="shared" si="1"/>
        <v>0</v>
      </c>
      <c r="E18" s="3">
        <f>COUNTIF(Vertices[Degree],"&gt;= "&amp;D18)-COUNTIF(Vertices[Degree],"&gt;="&amp;D19)</f>
        <v>0</v>
      </c>
      <c r="F18" s="39">
        <f t="shared" si="2"/>
        <v>1.2909090909090892</v>
      </c>
      <c r="G18" s="40">
        <f>COUNTIF(Vertices[In-Degree],"&gt;= "&amp;F18)-COUNTIF(Vertices[In-Degree],"&gt;="&amp;F19)</f>
        <v>0</v>
      </c>
      <c r="H18" s="39">
        <f t="shared" si="3"/>
        <v>1.4545454545454544</v>
      </c>
      <c r="I18" s="40">
        <f>COUNTIF(Vertices[Out-Degree],"&gt;= "&amp;H18)-COUNTIF(Vertices[Out-Degree],"&gt;="&amp;H19)</f>
        <v>0</v>
      </c>
      <c r="J18" s="39">
        <f t="shared" si="4"/>
        <v>5.236363636363635</v>
      </c>
      <c r="K18" s="40">
        <f>COUNTIF(Vertices[Betweenness Centrality],"&gt;= "&amp;J18)-COUNTIF(Vertices[Betweenness Centrality],"&gt;="&amp;J19)</f>
        <v>0</v>
      </c>
      <c r="L18" s="39">
        <f t="shared" si="5"/>
        <v>0.13696961818181813</v>
      </c>
      <c r="M18" s="40">
        <f>COUNTIF(Vertices[Closeness Centrality],"&gt;= "&amp;L18)-COUNTIF(Vertices[Closeness Centrality],"&gt;="&amp;L19)</f>
        <v>0</v>
      </c>
      <c r="N18" s="39">
        <f t="shared" si="6"/>
        <v>0.1630417090909091</v>
      </c>
      <c r="O18" s="40">
        <f>COUNTIF(Vertices[Eigenvector Centrality],"&gt;= "&amp;N18)-COUNTIF(Vertices[Eigenvector Centrality],"&gt;="&amp;N19)</f>
        <v>0</v>
      </c>
      <c r="P18" s="39">
        <f t="shared" si="7"/>
        <v>1.0908426363636359</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152</v>
      </c>
      <c r="B19" s="36">
        <v>1</v>
      </c>
      <c r="D19" s="34">
        <f t="shared" si="1"/>
        <v>0</v>
      </c>
      <c r="E19" s="3">
        <f>COUNTIF(Vertices[Degree],"&gt;= "&amp;D19)-COUNTIF(Vertices[Degree],"&gt;="&amp;D20)</f>
        <v>0</v>
      </c>
      <c r="F19" s="41">
        <f t="shared" si="2"/>
        <v>1.3090909090909073</v>
      </c>
      <c r="G19" s="42">
        <f>COUNTIF(Vertices[In-Degree],"&gt;= "&amp;F19)-COUNTIF(Vertices[In-Degree],"&gt;="&amp;F20)</f>
        <v>0</v>
      </c>
      <c r="H19" s="41">
        <f t="shared" si="3"/>
        <v>1.5454545454545452</v>
      </c>
      <c r="I19" s="42">
        <f>COUNTIF(Vertices[Out-Degree],"&gt;= "&amp;H19)-COUNTIF(Vertices[Out-Degree],"&gt;="&amp;H20)</f>
        <v>0</v>
      </c>
      <c r="J19" s="41">
        <f t="shared" si="4"/>
        <v>5.563636363636363</v>
      </c>
      <c r="K19" s="42">
        <f>COUNTIF(Vertices[Betweenness Centrality],"&gt;= "&amp;J19)-COUNTIF(Vertices[Betweenness Centrality],"&gt;="&amp;J20)</f>
        <v>0</v>
      </c>
      <c r="L19" s="41">
        <f t="shared" si="5"/>
        <v>0.13858578181818176</v>
      </c>
      <c r="M19" s="42">
        <f>COUNTIF(Vertices[Closeness Centrality],"&gt;= "&amp;L19)-COUNTIF(Vertices[Closeness Centrality],"&gt;="&amp;L20)</f>
        <v>0</v>
      </c>
      <c r="N19" s="41">
        <f t="shared" si="6"/>
        <v>0.1661576909090909</v>
      </c>
      <c r="O19" s="42">
        <f>COUNTIF(Vertices[Eigenvector Centrality],"&gt;= "&amp;N19)-COUNTIF(Vertices[Eigenvector Centrality],"&gt;="&amp;N20)</f>
        <v>0</v>
      </c>
      <c r="P19" s="41">
        <f t="shared" si="7"/>
        <v>1.1242233636363632</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1.3272727272727254</v>
      </c>
      <c r="G20" s="40">
        <f>COUNTIF(Vertices[In-Degree],"&gt;= "&amp;F20)-COUNTIF(Vertices[In-Degree],"&gt;="&amp;F21)</f>
        <v>0</v>
      </c>
      <c r="H20" s="39">
        <f t="shared" si="3"/>
        <v>1.636363636363636</v>
      </c>
      <c r="I20" s="40">
        <f>COUNTIF(Vertices[Out-Degree],"&gt;= "&amp;H20)-COUNTIF(Vertices[Out-Degree],"&gt;="&amp;H21)</f>
        <v>0</v>
      </c>
      <c r="J20" s="39">
        <f t="shared" si="4"/>
        <v>5.89090909090909</v>
      </c>
      <c r="K20" s="40">
        <f>COUNTIF(Vertices[Betweenness Centrality],"&gt;= "&amp;J20)-COUNTIF(Vertices[Betweenness Centrality],"&gt;="&amp;J21)</f>
        <v>0</v>
      </c>
      <c r="L20" s="39">
        <f t="shared" si="5"/>
        <v>0.1402019454545454</v>
      </c>
      <c r="M20" s="40">
        <f>COUNTIF(Vertices[Closeness Centrality],"&gt;= "&amp;L20)-COUNTIF(Vertices[Closeness Centrality],"&gt;="&amp;L21)</f>
        <v>0</v>
      </c>
      <c r="N20" s="39">
        <f t="shared" si="6"/>
        <v>0.16927367272727273</v>
      </c>
      <c r="O20" s="40">
        <f>COUNTIF(Vertices[Eigenvector Centrality],"&gt;= "&amp;N20)-COUNTIF(Vertices[Eigenvector Centrality],"&gt;="&amp;N21)</f>
        <v>0</v>
      </c>
      <c r="P20" s="39">
        <f t="shared" si="7"/>
        <v>1.1576040909090906</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154</v>
      </c>
      <c r="B21" s="36">
        <v>6</v>
      </c>
      <c r="D21" s="34">
        <f t="shared" si="1"/>
        <v>0</v>
      </c>
      <c r="E21" s="3">
        <f>COUNTIF(Vertices[Degree],"&gt;= "&amp;D21)-COUNTIF(Vertices[Degree],"&gt;="&amp;D22)</f>
        <v>0</v>
      </c>
      <c r="F21" s="41">
        <f t="shared" si="2"/>
        <v>1.3454545454545435</v>
      </c>
      <c r="G21" s="42">
        <f>COUNTIF(Vertices[In-Degree],"&gt;= "&amp;F21)-COUNTIF(Vertices[In-Degree],"&gt;="&amp;F22)</f>
        <v>0</v>
      </c>
      <c r="H21" s="41">
        <f t="shared" si="3"/>
        <v>1.7272727272727268</v>
      </c>
      <c r="I21" s="42">
        <f>COUNTIF(Vertices[Out-Degree],"&gt;= "&amp;H21)-COUNTIF(Vertices[Out-Degree],"&gt;="&amp;H22)</f>
        <v>0</v>
      </c>
      <c r="J21" s="41">
        <f t="shared" si="4"/>
        <v>6.218181818181817</v>
      </c>
      <c r="K21" s="42">
        <f>COUNTIF(Vertices[Betweenness Centrality],"&gt;= "&amp;J21)-COUNTIF(Vertices[Betweenness Centrality],"&gt;="&amp;J22)</f>
        <v>0</v>
      </c>
      <c r="L21" s="41">
        <f t="shared" si="5"/>
        <v>0.14181810909090903</v>
      </c>
      <c r="M21" s="42">
        <f>COUNTIF(Vertices[Closeness Centrality],"&gt;= "&amp;L21)-COUNTIF(Vertices[Closeness Centrality],"&gt;="&amp;L22)</f>
        <v>0</v>
      </c>
      <c r="N21" s="41">
        <f t="shared" si="6"/>
        <v>0.17238965454545455</v>
      </c>
      <c r="O21" s="42">
        <f>COUNTIF(Vertices[Eigenvector Centrality],"&gt;= "&amp;N21)-COUNTIF(Vertices[Eigenvector Centrality],"&gt;="&amp;N22)</f>
        <v>0</v>
      </c>
      <c r="P21" s="41">
        <f t="shared" si="7"/>
        <v>1.190984818181818</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155</v>
      </c>
      <c r="B22" s="36">
        <v>7</v>
      </c>
      <c r="D22" s="34">
        <f t="shared" si="1"/>
        <v>0</v>
      </c>
      <c r="E22" s="3">
        <f>COUNTIF(Vertices[Degree],"&gt;= "&amp;D22)-COUNTIF(Vertices[Degree],"&gt;="&amp;D23)</f>
        <v>0</v>
      </c>
      <c r="F22" s="39">
        <f t="shared" si="2"/>
        <v>1.3636363636363615</v>
      </c>
      <c r="G22" s="40">
        <f>COUNTIF(Vertices[In-Degree],"&gt;= "&amp;F22)-COUNTIF(Vertices[In-Degree],"&gt;="&amp;F23)</f>
        <v>0</v>
      </c>
      <c r="H22" s="39">
        <f t="shared" si="3"/>
        <v>1.8181818181818177</v>
      </c>
      <c r="I22" s="40">
        <f>COUNTIF(Vertices[Out-Degree],"&gt;= "&amp;H22)-COUNTIF(Vertices[Out-Degree],"&gt;="&amp;H23)</f>
        <v>0</v>
      </c>
      <c r="J22" s="39">
        <f t="shared" si="4"/>
        <v>6.545454545454544</v>
      </c>
      <c r="K22" s="40">
        <f>COUNTIF(Vertices[Betweenness Centrality],"&gt;= "&amp;J22)-COUNTIF(Vertices[Betweenness Centrality],"&gt;="&amp;J23)</f>
        <v>0</v>
      </c>
      <c r="L22" s="39">
        <f t="shared" si="5"/>
        <v>0.14343427272727266</v>
      </c>
      <c r="M22" s="40">
        <f>COUNTIF(Vertices[Closeness Centrality],"&gt;= "&amp;L22)-COUNTIF(Vertices[Closeness Centrality],"&gt;="&amp;L23)</f>
        <v>0</v>
      </c>
      <c r="N22" s="39">
        <f t="shared" si="6"/>
        <v>0.17550563636363636</v>
      </c>
      <c r="O22" s="40">
        <f>COUNTIF(Vertices[Eigenvector Centrality],"&gt;= "&amp;N22)-COUNTIF(Vertices[Eigenvector Centrality],"&gt;="&amp;N23)</f>
        <v>0</v>
      </c>
      <c r="P22" s="39">
        <f t="shared" si="7"/>
        <v>1.2243655454545452</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134"/>
      <c r="B23" s="134"/>
      <c r="D23" s="34">
        <f t="shared" si="1"/>
        <v>0</v>
      </c>
      <c r="E23" s="3">
        <f>COUNTIF(Vertices[Degree],"&gt;= "&amp;D23)-COUNTIF(Vertices[Degree],"&gt;="&amp;D24)</f>
        <v>0</v>
      </c>
      <c r="F23" s="41">
        <f t="shared" si="2"/>
        <v>1.3818181818181796</v>
      </c>
      <c r="G23" s="42">
        <f>COUNTIF(Vertices[In-Degree],"&gt;= "&amp;F23)-COUNTIF(Vertices[In-Degree],"&gt;="&amp;F24)</f>
        <v>0</v>
      </c>
      <c r="H23" s="41">
        <f t="shared" si="3"/>
        <v>1.9090909090909085</v>
      </c>
      <c r="I23" s="42">
        <f>COUNTIF(Vertices[Out-Degree],"&gt;= "&amp;H23)-COUNTIF(Vertices[Out-Degree],"&gt;="&amp;H24)</f>
        <v>0</v>
      </c>
      <c r="J23" s="41">
        <f t="shared" si="4"/>
        <v>6.872727272727271</v>
      </c>
      <c r="K23" s="42">
        <f>COUNTIF(Vertices[Betweenness Centrality],"&gt;= "&amp;J23)-COUNTIF(Vertices[Betweenness Centrality],"&gt;="&amp;J24)</f>
        <v>0</v>
      </c>
      <c r="L23" s="41">
        <f t="shared" si="5"/>
        <v>0.1450504363636363</v>
      </c>
      <c r="M23" s="42">
        <f>COUNTIF(Vertices[Closeness Centrality],"&gt;= "&amp;L23)-COUNTIF(Vertices[Closeness Centrality],"&gt;="&amp;L24)</f>
        <v>0</v>
      </c>
      <c r="N23" s="41">
        <f t="shared" si="6"/>
        <v>0.17862161818181818</v>
      </c>
      <c r="O23" s="42">
        <f>COUNTIF(Vertices[Eigenvector Centrality],"&gt;= "&amp;N23)-COUNTIF(Vertices[Eigenvector Centrality],"&gt;="&amp;N24)</f>
        <v>0</v>
      </c>
      <c r="P23" s="41">
        <f t="shared" si="7"/>
        <v>1.2577462727272726</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1.3999999999999977</v>
      </c>
      <c r="G24" s="40">
        <f>COUNTIF(Vertices[In-Degree],"&gt;= "&amp;F24)-COUNTIF(Vertices[In-Degree],"&gt;="&amp;F25)</f>
        <v>0</v>
      </c>
      <c r="H24" s="39">
        <f t="shared" si="3"/>
        <v>1.9999999999999993</v>
      </c>
      <c r="I24" s="40">
        <f>COUNTIF(Vertices[Out-Degree],"&gt;= "&amp;H24)-COUNTIF(Vertices[Out-Degree],"&gt;="&amp;H25)</f>
        <v>1</v>
      </c>
      <c r="J24" s="39">
        <f t="shared" si="4"/>
        <v>7.199999999999998</v>
      </c>
      <c r="K24" s="40">
        <f>COUNTIF(Vertices[Betweenness Centrality],"&gt;= "&amp;J24)-COUNTIF(Vertices[Betweenness Centrality],"&gt;="&amp;J25)</f>
        <v>0</v>
      </c>
      <c r="L24" s="39">
        <f t="shared" si="5"/>
        <v>0.14666659999999992</v>
      </c>
      <c r="M24" s="40">
        <f>COUNTIF(Vertices[Closeness Centrality],"&gt;= "&amp;L24)-COUNTIF(Vertices[Closeness Centrality],"&gt;="&amp;L25)</f>
        <v>0</v>
      </c>
      <c r="N24" s="39">
        <f t="shared" si="6"/>
        <v>0.1817376</v>
      </c>
      <c r="O24" s="40">
        <f>COUNTIF(Vertices[Eigenvector Centrality],"&gt;= "&amp;N24)-COUNTIF(Vertices[Eigenvector Centrality],"&gt;="&amp;N25)</f>
        <v>0</v>
      </c>
      <c r="P24" s="39">
        <f t="shared" si="7"/>
        <v>1.291127</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36" t="s">
        <v>157</v>
      </c>
      <c r="B25" s="36">
        <v>1.333333</v>
      </c>
      <c r="D25" s="34">
        <f t="shared" si="1"/>
        <v>0</v>
      </c>
      <c r="E25" s="3">
        <f>COUNTIF(Vertices[Degree],"&gt;= "&amp;D25)-COUNTIF(Vertices[Degree],"&gt;="&amp;D26)</f>
        <v>0</v>
      </c>
      <c r="F25" s="41">
        <f t="shared" si="2"/>
        <v>1.4181818181818158</v>
      </c>
      <c r="G25" s="42">
        <f>COUNTIF(Vertices[In-Degree],"&gt;= "&amp;F25)-COUNTIF(Vertices[In-Degree],"&gt;="&amp;F26)</f>
        <v>0</v>
      </c>
      <c r="H25" s="41">
        <f t="shared" si="3"/>
        <v>2.0909090909090904</v>
      </c>
      <c r="I25" s="42">
        <f>COUNTIF(Vertices[Out-Degree],"&gt;= "&amp;H25)-COUNTIF(Vertices[Out-Degree],"&gt;="&amp;H26)</f>
        <v>0</v>
      </c>
      <c r="J25" s="41">
        <f t="shared" si="4"/>
        <v>7.527272727272726</v>
      </c>
      <c r="K25" s="42">
        <f>COUNTIF(Vertices[Betweenness Centrality],"&gt;= "&amp;J25)-COUNTIF(Vertices[Betweenness Centrality],"&gt;="&amp;J26)</f>
        <v>0</v>
      </c>
      <c r="L25" s="41">
        <f t="shared" si="5"/>
        <v>0.14828276363636356</v>
      </c>
      <c r="M25" s="42">
        <f>COUNTIF(Vertices[Closeness Centrality],"&gt;= "&amp;L25)-COUNTIF(Vertices[Closeness Centrality],"&gt;="&amp;L26)</f>
        <v>0</v>
      </c>
      <c r="N25" s="41">
        <f t="shared" si="6"/>
        <v>0.18485358181818182</v>
      </c>
      <c r="O25" s="42">
        <f>COUNTIF(Vertices[Eigenvector Centrality],"&gt;= "&amp;N25)-COUNTIF(Vertices[Eigenvector Centrality],"&gt;="&amp;N26)</f>
        <v>2</v>
      </c>
      <c r="P25" s="41">
        <f t="shared" si="7"/>
        <v>1.3245077272727273</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134"/>
      <c r="B26" s="134"/>
      <c r="D26" s="34">
        <f t="shared" si="1"/>
        <v>0</v>
      </c>
      <c r="E26" s="3">
        <f>COUNTIF(Vertices[Degree],"&gt;= "&amp;D26)-COUNTIF(Vertices[Degree],"&gt;="&amp;D28)</f>
        <v>0</v>
      </c>
      <c r="F26" s="39">
        <f t="shared" si="2"/>
        <v>1.4363636363636338</v>
      </c>
      <c r="G26" s="40">
        <f>COUNTIF(Vertices[In-Degree],"&gt;= "&amp;F26)-COUNTIF(Vertices[In-Degree],"&gt;="&amp;F28)</f>
        <v>0</v>
      </c>
      <c r="H26" s="39">
        <f t="shared" si="3"/>
        <v>2.181818181818181</v>
      </c>
      <c r="I26" s="40">
        <f>COUNTIF(Vertices[Out-Degree],"&gt;= "&amp;H26)-COUNTIF(Vertices[Out-Degree],"&gt;="&amp;H28)</f>
        <v>0</v>
      </c>
      <c r="J26" s="39">
        <f t="shared" si="4"/>
        <v>7.854545454545453</v>
      </c>
      <c r="K26" s="40">
        <f>COUNTIF(Vertices[Betweenness Centrality],"&gt;= "&amp;J26)-COUNTIF(Vertices[Betweenness Centrality],"&gt;="&amp;J28)</f>
        <v>0</v>
      </c>
      <c r="L26" s="39">
        <f t="shared" si="5"/>
        <v>0.1498989272727272</v>
      </c>
      <c r="M26" s="40">
        <f>COUNTIF(Vertices[Closeness Centrality],"&gt;= "&amp;L26)-COUNTIF(Vertices[Closeness Centrality],"&gt;="&amp;L28)</f>
        <v>0</v>
      </c>
      <c r="N26" s="39">
        <f t="shared" si="6"/>
        <v>0.18796956363636363</v>
      </c>
      <c r="O26" s="40">
        <f>COUNTIF(Vertices[Eigenvector Centrality],"&gt;= "&amp;N26)-COUNTIF(Vertices[Eigenvector Centrality],"&gt;="&amp;N28)</f>
        <v>0</v>
      </c>
      <c r="P26" s="39">
        <f t="shared" si="7"/>
        <v>1.3578884545454546</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158</v>
      </c>
      <c r="B27" s="36">
        <v>0.23333333333333334</v>
      </c>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6" t="s">
        <v>467</v>
      </c>
      <c r="B28" s="36">
        <v>0.163265</v>
      </c>
      <c r="D28" s="34">
        <f>D26+($D$57-$D$2)/BinDivisor</f>
        <v>0</v>
      </c>
      <c r="E28" s="3">
        <f>COUNTIF(Vertices[Degree],"&gt;= "&amp;D28)-COUNTIF(Vertices[Degree],"&gt;="&amp;D40)</f>
        <v>0</v>
      </c>
      <c r="F28" s="41">
        <f>F26+($F$57-$F$2)/BinDivisor</f>
        <v>1.454545454545452</v>
      </c>
      <c r="G28" s="42">
        <f>COUNTIF(Vertices[In-Degree],"&gt;= "&amp;F28)-COUNTIF(Vertices[In-Degree],"&gt;="&amp;F40)</f>
        <v>0</v>
      </c>
      <c r="H28" s="41">
        <f>H26+($H$57-$H$2)/BinDivisor</f>
        <v>2.272727272727272</v>
      </c>
      <c r="I28" s="42">
        <f>COUNTIF(Vertices[Out-Degree],"&gt;= "&amp;H28)-COUNTIF(Vertices[Out-Degree],"&gt;="&amp;H40)</f>
        <v>0</v>
      </c>
      <c r="J28" s="41">
        <f>J26+($J$57-$J$2)/BinDivisor</f>
        <v>8.18181818181818</v>
      </c>
      <c r="K28" s="42">
        <f>COUNTIF(Vertices[Betweenness Centrality],"&gt;= "&amp;J28)-COUNTIF(Vertices[Betweenness Centrality],"&gt;="&amp;J40)</f>
        <v>0</v>
      </c>
      <c r="L28" s="41">
        <f>L26+($L$57-$L$2)/BinDivisor</f>
        <v>0.15151509090909082</v>
      </c>
      <c r="M28" s="42">
        <f>COUNTIF(Vertices[Closeness Centrality],"&gt;= "&amp;L28)-COUNTIF(Vertices[Closeness Centrality],"&gt;="&amp;L40)</f>
        <v>0</v>
      </c>
      <c r="N28" s="41">
        <f>N26+($N$57-$N$2)/BinDivisor</f>
        <v>0.19108554545454545</v>
      </c>
      <c r="O28" s="42">
        <f>COUNTIF(Vertices[Eigenvector Centrality],"&gt;= "&amp;N28)-COUNTIF(Vertices[Eigenvector Centrality],"&gt;="&amp;N40)</f>
        <v>0</v>
      </c>
      <c r="P28" s="41">
        <f>P26+($P$57-$P$2)/BinDivisor</f>
        <v>1.391269181818182</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34"/>
      <c r="B29" s="134"/>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468</v>
      </c>
      <c r="B30" s="36" t="s">
        <v>482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469</v>
      </c>
      <c r="B32" s="36" t="s">
        <v>85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4"/>
      <c r="B33" s="134"/>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470</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471</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472</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473</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474</v>
      </c>
      <c r="B38" s="36" t="s">
        <v>85</v>
      </c>
      <c r="D38" s="34"/>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-1</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1:21" ht="15">
      <c r="A39" s="36" t="s">
        <v>475</v>
      </c>
      <c r="B39" s="36" t="s">
        <v>85</v>
      </c>
      <c r="D39" s="34"/>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-1</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1:21" ht="15">
      <c r="A40" s="36" t="s">
        <v>476</v>
      </c>
      <c r="B40" s="36" t="s">
        <v>85</v>
      </c>
      <c r="D40" s="34">
        <f>D28+($D$57-$D$2)/BinDivisor</f>
        <v>0</v>
      </c>
      <c r="E40" s="3">
        <f>COUNTIF(Vertices[Degree],"&gt;= "&amp;D40)-COUNTIF(Vertices[Degree],"&gt;="&amp;D41)</f>
        <v>0</v>
      </c>
      <c r="F40" s="39">
        <f>F28+($F$57-$F$2)/BinDivisor</f>
        <v>1.47272727272727</v>
      </c>
      <c r="G40" s="40">
        <f>COUNTIF(Vertices[In-Degree],"&gt;= "&amp;F40)-COUNTIF(Vertices[In-Degree],"&gt;="&amp;F41)</f>
        <v>0</v>
      </c>
      <c r="H40" s="39">
        <f>H28+($H$57-$H$2)/BinDivisor</f>
        <v>2.363636363636363</v>
      </c>
      <c r="I40" s="40">
        <f>COUNTIF(Vertices[Out-Degree],"&gt;= "&amp;H40)-COUNTIF(Vertices[Out-Degree],"&gt;="&amp;H41)</f>
        <v>0</v>
      </c>
      <c r="J40" s="39">
        <f>J28+($J$57-$J$2)/BinDivisor</f>
        <v>8.509090909090908</v>
      </c>
      <c r="K40" s="40">
        <f>COUNTIF(Vertices[Betweenness Centrality],"&gt;= "&amp;J40)-COUNTIF(Vertices[Betweenness Centrality],"&gt;="&amp;J41)</f>
        <v>0</v>
      </c>
      <c r="L40" s="39">
        <f>L28+($L$57-$L$2)/BinDivisor</f>
        <v>0.15313125454545445</v>
      </c>
      <c r="M40" s="40">
        <f>COUNTIF(Vertices[Closeness Centrality],"&gt;= "&amp;L40)-COUNTIF(Vertices[Closeness Centrality],"&gt;="&amp;L41)</f>
        <v>0</v>
      </c>
      <c r="N40" s="39">
        <f>N28+($N$57-$N$2)/BinDivisor</f>
        <v>0.19420152727272727</v>
      </c>
      <c r="O40" s="40">
        <f>COUNTIF(Vertices[Eigenvector Centrality],"&gt;= "&amp;N40)-COUNTIF(Vertices[Eigenvector Centrality],"&gt;="&amp;N41)</f>
        <v>0</v>
      </c>
      <c r="P40" s="39">
        <f>P28+($P$57-$P$2)/BinDivisor</f>
        <v>1.4246499090909093</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s="36" t="s">
        <v>477</v>
      </c>
      <c r="B41" s="36" t="s">
        <v>85</v>
      </c>
      <c r="D41" s="34">
        <f aca="true" t="shared" si="10" ref="D41:D56">D40+($D$57-$D$2)/BinDivisor</f>
        <v>0</v>
      </c>
      <c r="E41" s="3">
        <f>COUNTIF(Vertices[Degree],"&gt;= "&amp;D41)-COUNTIF(Vertices[Degree],"&gt;="&amp;D42)</f>
        <v>0</v>
      </c>
      <c r="F41" s="41">
        <f aca="true" t="shared" si="11" ref="F41:F56">F40+($F$57-$F$2)/BinDivisor</f>
        <v>1.490909090909088</v>
      </c>
      <c r="G41" s="42">
        <f>COUNTIF(Vertices[In-Degree],"&gt;= "&amp;F41)-COUNTIF(Vertices[In-Degree],"&gt;="&amp;F42)</f>
        <v>0</v>
      </c>
      <c r="H41" s="41">
        <f aca="true" t="shared" si="12" ref="H41:H56">H40+($H$57-$H$2)/BinDivisor</f>
        <v>2.4545454545454537</v>
      </c>
      <c r="I41" s="42">
        <f>COUNTIF(Vertices[Out-Degree],"&gt;= "&amp;H41)-COUNTIF(Vertices[Out-Degree],"&gt;="&amp;H42)</f>
        <v>0</v>
      </c>
      <c r="J41" s="41">
        <f aca="true" t="shared" si="13" ref="J41:J56">J40+($J$57-$J$2)/BinDivisor</f>
        <v>8.836363636363636</v>
      </c>
      <c r="K41" s="42">
        <f>COUNTIF(Vertices[Betweenness Centrality],"&gt;= "&amp;J41)-COUNTIF(Vertices[Betweenness Centrality],"&gt;="&amp;J42)</f>
        <v>0</v>
      </c>
      <c r="L41" s="41">
        <f aca="true" t="shared" si="14" ref="L41:L56">L40+($L$57-$L$2)/BinDivisor</f>
        <v>0.15474741818181809</v>
      </c>
      <c r="M41" s="42">
        <f>COUNTIF(Vertices[Closeness Centrality],"&gt;= "&amp;L41)-COUNTIF(Vertices[Closeness Centrality],"&gt;="&amp;L42)</f>
        <v>0</v>
      </c>
      <c r="N41" s="41">
        <f aca="true" t="shared" si="15" ref="N41:N56">N40+($N$57-$N$2)/BinDivisor</f>
        <v>0.1973175090909091</v>
      </c>
      <c r="O41" s="42">
        <f>COUNTIF(Vertices[Eigenvector Centrality],"&gt;= "&amp;N41)-COUNTIF(Vertices[Eigenvector Centrality],"&gt;="&amp;N42)</f>
        <v>0</v>
      </c>
      <c r="P41" s="41">
        <f aca="true" t="shared" si="16" ref="P41:P56">P40+($P$57-$P$2)/BinDivisor</f>
        <v>1.4580306363636366</v>
      </c>
      <c r="Q41" s="42">
        <f>COUNTIF(Vertices[PageRank],"&gt;= "&amp;P41)-COUNTIF(Vertices[PageRank],"&gt;="&amp;P42)</f>
        <v>0</v>
      </c>
      <c r="R41" s="41">
        <f aca="true" t="shared" si="17" ref="R41:R56">R40+($R$57-$R$2)/BinDivisor</f>
        <v>0.490909090909091</v>
      </c>
      <c r="S41" s="46">
        <f>COUNTIF(Vertices[Clustering Coefficient],"&gt;= "&amp;R41)-COUNTIF(Vertices[Clustering Coefficient],"&gt;="&amp;R42)</f>
        <v>1</v>
      </c>
      <c r="T41" s="41" t="e">
        <f aca="true" t="shared" si="18" ref="T41:T56">T40+($T$57-$T$2)/BinDivisor</f>
        <v>#REF!</v>
      </c>
      <c r="U41" s="42" t="e">
        <f ca="1" t="shared" si="0"/>
        <v>#REF!</v>
      </c>
    </row>
    <row r="42" spans="1:21" ht="15">
      <c r="A42" s="36" t="s">
        <v>478</v>
      </c>
      <c r="B42" s="36" t="s">
        <v>85</v>
      </c>
      <c r="D42" s="34">
        <f t="shared" si="10"/>
        <v>0</v>
      </c>
      <c r="E42" s="3">
        <f>COUNTIF(Vertices[Degree],"&gt;= "&amp;D42)-COUNTIF(Vertices[Degree],"&gt;="&amp;D43)</f>
        <v>0</v>
      </c>
      <c r="F42" s="39">
        <f t="shared" si="11"/>
        <v>1.5090909090909062</v>
      </c>
      <c r="G42" s="40">
        <f>COUNTIF(Vertices[In-Degree],"&gt;= "&amp;F42)-COUNTIF(Vertices[In-Degree],"&gt;="&amp;F43)</f>
        <v>0</v>
      </c>
      <c r="H42" s="39">
        <f t="shared" si="12"/>
        <v>2.5454545454545445</v>
      </c>
      <c r="I42" s="40">
        <f>COUNTIF(Vertices[Out-Degree],"&gt;= "&amp;H42)-COUNTIF(Vertices[Out-Degree],"&gt;="&amp;H43)</f>
        <v>0</v>
      </c>
      <c r="J42" s="39">
        <f t="shared" si="13"/>
        <v>9.163636363636364</v>
      </c>
      <c r="K42" s="40">
        <f>COUNTIF(Vertices[Betweenness Centrality],"&gt;= "&amp;J42)-COUNTIF(Vertices[Betweenness Centrality],"&gt;="&amp;J43)</f>
        <v>0</v>
      </c>
      <c r="L42" s="39">
        <f t="shared" si="14"/>
        <v>0.15636358181818172</v>
      </c>
      <c r="M42" s="40">
        <f>COUNTIF(Vertices[Closeness Centrality],"&gt;= "&amp;L42)-COUNTIF(Vertices[Closeness Centrality],"&gt;="&amp;L43)</f>
        <v>0</v>
      </c>
      <c r="N42" s="39">
        <f t="shared" si="15"/>
        <v>0.2004334909090909</v>
      </c>
      <c r="O42" s="40">
        <f>COUNTIF(Vertices[Eigenvector Centrality],"&gt;= "&amp;N42)-COUNTIF(Vertices[Eigenvector Centrality],"&gt;="&amp;N43)</f>
        <v>0</v>
      </c>
      <c r="P42" s="39">
        <f t="shared" si="16"/>
        <v>1.491411363636364</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6" t="s">
        <v>21</v>
      </c>
      <c r="B43" s="36" t="s">
        <v>85</v>
      </c>
      <c r="D43" s="34">
        <f t="shared" si="10"/>
        <v>0</v>
      </c>
      <c r="E43" s="3">
        <f>COUNTIF(Vertices[Degree],"&gt;= "&amp;D43)-COUNTIF(Vertices[Degree],"&gt;="&amp;D44)</f>
        <v>0</v>
      </c>
      <c r="F43" s="41">
        <f t="shared" si="11"/>
        <v>1.5272727272727242</v>
      </c>
      <c r="G43" s="42">
        <f>COUNTIF(Vertices[In-Degree],"&gt;= "&amp;F43)-COUNTIF(Vertices[In-Degree],"&gt;="&amp;F44)</f>
        <v>0</v>
      </c>
      <c r="H43" s="41">
        <f t="shared" si="12"/>
        <v>2.6363636363636354</v>
      </c>
      <c r="I43" s="42">
        <f>COUNTIF(Vertices[Out-Degree],"&gt;= "&amp;H43)-COUNTIF(Vertices[Out-Degree],"&gt;="&amp;H44)</f>
        <v>0</v>
      </c>
      <c r="J43" s="41">
        <f t="shared" si="13"/>
        <v>9.490909090909092</v>
      </c>
      <c r="K43" s="42">
        <f>COUNTIF(Vertices[Betweenness Centrality],"&gt;= "&amp;J43)-COUNTIF(Vertices[Betweenness Centrality],"&gt;="&amp;J44)</f>
        <v>0</v>
      </c>
      <c r="L43" s="41">
        <f t="shared" si="14"/>
        <v>0.15797974545454535</v>
      </c>
      <c r="M43" s="42">
        <f>COUNTIF(Vertices[Closeness Centrality],"&gt;= "&amp;L43)-COUNTIF(Vertices[Closeness Centrality],"&gt;="&amp;L44)</f>
        <v>0</v>
      </c>
      <c r="N43" s="41">
        <f t="shared" si="15"/>
        <v>0.20354947272727272</v>
      </c>
      <c r="O43" s="42">
        <f>COUNTIF(Vertices[Eigenvector Centrality],"&gt;= "&amp;N43)-COUNTIF(Vertices[Eigenvector Centrality],"&gt;="&amp;N44)</f>
        <v>0</v>
      </c>
      <c r="P43" s="41">
        <f t="shared" si="16"/>
        <v>1.5247920909090913</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6" t="s">
        <v>479</v>
      </c>
      <c r="B44" s="36" t="s">
        <v>85</v>
      </c>
      <c r="D44" s="34">
        <f t="shared" si="10"/>
        <v>0</v>
      </c>
      <c r="E44" s="3">
        <f>COUNTIF(Vertices[Degree],"&gt;= "&amp;D44)-COUNTIF(Vertices[Degree],"&gt;="&amp;D45)</f>
        <v>0</v>
      </c>
      <c r="F44" s="39">
        <f t="shared" si="11"/>
        <v>1.5454545454545423</v>
      </c>
      <c r="G44" s="40">
        <f>COUNTIF(Vertices[In-Degree],"&gt;= "&amp;F44)-COUNTIF(Vertices[In-Degree],"&gt;="&amp;F45)</f>
        <v>0</v>
      </c>
      <c r="H44" s="39">
        <f t="shared" si="12"/>
        <v>2.727272727272726</v>
      </c>
      <c r="I44" s="40">
        <f>COUNTIF(Vertices[Out-Degree],"&gt;= "&amp;H44)-COUNTIF(Vertices[Out-Degree],"&gt;="&amp;H45)</f>
        <v>0</v>
      </c>
      <c r="J44" s="39">
        <f t="shared" si="13"/>
        <v>9.81818181818182</v>
      </c>
      <c r="K44" s="40">
        <f>COUNTIF(Vertices[Betweenness Centrality],"&gt;= "&amp;J44)-COUNTIF(Vertices[Betweenness Centrality],"&gt;="&amp;J45)</f>
        <v>0</v>
      </c>
      <c r="L44" s="39">
        <f t="shared" si="14"/>
        <v>0.15959590909090898</v>
      </c>
      <c r="M44" s="40">
        <f>COUNTIF(Vertices[Closeness Centrality],"&gt;= "&amp;L44)-COUNTIF(Vertices[Closeness Centrality],"&gt;="&amp;L45)</f>
        <v>0</v>
      </c>
      <c r="N44" s="39">
        <f t="shared" si="15"/>
        <v>0.20666545454545454</v>
      </c>
      <c r="O44" s="40">
        <f>COUNTIF(Vertices[Eigenvector Centrality],"&gt;= "&amp;N44)-COUNTIF(Vertices[Eigenvector Centrality],"&gt;="&amp;N45)</f>
        <v>0</v>
      </c>
      <c r="P44" s="39">
        <f t="shared" si="16"/>
        <v>1.5581728181818186</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1:21" ht="15">
      <c r="A45" s="36" t="s">
        <v>480</v>
      </c>
      <c r="B45" s="36" t="s">
        <v>85</v>
      </c>
      <c r="D45" s="34">
        <f t="shared" si="10"/>
        <v>0</v>
      </c>
      <c r="E45" s="3">
        <f>COUNTIF(Vertices[Degree],"&gt;= "&amp;D45)-COUNTIF(Vertices[Degree],"&gt;="&amp;D46)</f>
        <v>0</v>
      </c>
      <c r="F45" s="41">
        <f t="shared" si="11"/>
        <v>1.5636363636363604</v>
      </c>
      <c r="G45" s="42">
        <f>COUNTIF(Vertices[In-Degree],"&gt;= "&amp;F45)-COUNTIF(Vertices[In-Degree],"&gt;="&amp;F46)</f>
        <v>0</v>
      </c>
      <c r="H45" s="41">
        <f t="shared" si="12"/>
        <v>2.818181818181817</v>
      </c>
      <c r="I45" s="42">
        <f>COUNTIF(Vertices[Out-Degree],"&gt;= "&amp;H45)-COUNTIF(Vertices[Out-Degree],"&gt;="&amp;H46)</f>
        <v>0</v>
      </c>
      <c r="J45" s="41">
        <f t="shared" si="13"/>
        <v>10.145454545454548</v>
      </c>
      <c r="K45" s="42">
        <f>COUNTIF(Vertices[Betweenness Centrality],"&gt;= "&amp;J45)-COUNTIF(Vertices[Betweenness Centrality],"&gt;="&amp;J46)</f>
        <v>0</v>
      </c>
      <c r="L45" s="41">
        <f t="shared" si="14"/>
        <v>0.16121207272727262</v>
      </c>
      <c r="M45" s="42">
        <f>COUNTIF(Vertices[Closeness Centrality],"&gt;= "&amp;L45)-COUNTIF(Vertices[Closeness Centrality],"&gt;="&amp;L46)</f>
        <v>0</v>
      </c>
      <c r="N45" s="41">
        <f t="shared" si="15"/>
        <v>0.20978143636363636</v>
      </c>
      <c r="O45" s="42">
        <f>COUNTIF(Vertices[Eigenvector Centrality],"&gt;= "&amp;N45)-COUNTIF(Vertices[Eigenvector Centrality],"&gt;="&amp;N46)</f>
        <v>0</v>
      </c>
      <c r="P45" s="41">
        <f t="shared" si="16"/>
        <v>1.591553545454546</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1:21" ht="15">
      <c r="A46" s="36" t="s">
        <v>481</v>
      </c>
      <c r="B46" s="36" t="s">
        <v>85</v>
      </c>
      <c r="D46" s="34">
        <f t="shared" si="10"/>
        <v>0</v>
      </c>
      <c r="E46" s="3">
        <f>COUNTIF(Vertices[Degree],"&gt;= "&amp;D46)-COUNTIF(Vertices[Degree],"&gt;="&amp;D47)</f>
        <v>0</v>
      </c>
      <c r="F46" s="39">
        <f t="shared" si="11"/>
        <v>1.5818181818181785</v>
      </c>
      <c r="G46" s="40">
        <f>COUNTIF(Vertices[In-Degree],"&gt;= "&amp;F46)-COUNTIF(Vertices[In-Degree],"&gt;="&amp;F47)</f>
        <v>0</v>
      </c>
      <c r="H46" s="39">
        <f t="shared" si="12"/>
        <v>2.909090909090908</v>
      </c>
      <c r="I46" s="40">
        <f>COUNTIF(Vertices[Out-Degree],"&gt;= "&amp;H46)-COUNTIF(Vertices[Out-Degree],"&gt;="&amp;H47)</f>
        <v>0</v>
      </c>
      <c r="J46" s="39">
        <f t="shared" si="13"/>
        <v>10.472727272727276</v>
      </c>
      <c r="K46" s="40">
        <f>COUNTIF(Vertices[Betweenness Centrality],"&gt;= "&amp;J46)-COUNTIF(Vertices[Betweenness Centrality],"&gt;="&amp;J47)</f>
        <v>0</v>
      </c>
      <c r="L46" s="39">
        <f t="shared" si="14"/>
        <v>0.16282823636363625</v>
      </c>
      <c r="M46" s="40">
        <f>COUNTIF(Vertices[Closeness Centrality],"&gt;= "&amp;L46)-COUNTIF(Vertices[Closeness Centrality],"&gt;="&amp;L47)</f>
        <v>0</v>
      </c>
      <c r="N46" s="39">
        <f t="shared" si="15"/>
        <v>0.21289741818181818</v>
      </c>
      <c r="O46" s="40">
        <f>COUNTIF(Vertices[Eigenvector Centrality],"&gt;= "&amp;N46)-COUNTIF(Vertices[Eigenvector Centrality],"&gt;="&amp;N47)</f>
        <v>0</v>
      </c>
      <c r="P46" s="39">
        <f t="shared" si="16"/>
        <v>1.6249342727272733</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1:21" ht="15">
      <c r="A47" t="s">
        <v>163</v>
      </c>
      <c r="B47" t="s">
        <v>17</v>
      </c>
      <c r="D47" s="34">
        <f t="shared" si="10"/>
        <v>0</v>
      </c>
      <c r="E47" s="3">
        <f>COUNTIF(Vertices[Degree],"&gt;= "&amp;D47)-COUNTIF(Vertices[Degree],"&gt;="&amp;D48)</f>
        <v>0</v>
      </c>
      <c r="F47" s="41">
        <f t="shared" si="11"/>
        <v>1.5999999999999965</v>
      </c>
      <c r="G47" s="42">
        <f>COUNTIF(Vertices[In-Degree],"&gt;= "&amp;F47)-COUNTIF(Vertices[In-Degree],"&gt;="&amp;F48)</f>
        <v>0</v>
      </c>
      <c r="H47" s="41">
        <f t="shared" si="12"/>
        <v>2.9999999999999987</v>
      </c>
      <c r="I47" s="42">
        <f>COUNTIF(Vertices[Out-Degree],"&gt;= "&amp;H47)-COUNTIF(Vertices[Out-Degree],"&gt;="&amp;H48)</f>
        <v>0</v>
      </c>
      <c r="J47" s="41">
        <f t="shared" si="13"/>
        <v>10.800000000000004</v>
      </c>
      <c r="K47" s="42">
        <f>COUNTIF(Vertices[Betweenness Centrality],"&gt;= "&amp;J47)-COUNTIF(Vertices[Betweenness Centrality],"&gt;="&amp;J48)</f>
        <v>0</v>
      </c>
      <c r="L47" s="41">
        <f t="shared" si="14"/>
        <v>0.16444439999999988</v>
      </c>
      <c r="M47" s="42">
        <f>COUNTIF(Vertices[Closeness Centrality],"&gt;= "&amp;L47)-COUNTIF(Vertices[Closeness Centrality],"&gt;="&amp;L48)</f>
        <v>0</v>
      </c>
      <c r="N47" s="41">
        <f t="shared" si="15"/>
        <v>0.2160134</v>
      </c>
      <c r="O47" s="42">
        <f>COUNTIF(Vertices[Eigenvector Centrality],"&gt;= "&amp;N47)-COUNTIF(Vertices[Eigenvector Centrality],"&gt;="&amp;N48)</f>
        <v>0</v>
      </c>
      <c r="P47" s="41">
        <f t="shared" si="16"/>
        <v>1.6583150000000006</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1:21" ht="15">
      <c r="A48" s="35"/>
      <c r="B48" s="35"/>
      <c r="D48" s="34">
        <f t="shared" si="10"/>
        <v>0</v>
      </c>
      <c r="E48" s="3">
        <f>COUNTIF(Vertices[Degree],"&gt;= "&amp;D48)-COUNTIF(Vertices[Degree],"&gt;="&amp;D49)</f>
        <v>0</v>
      </c>
      <c r="F48" s="39">
        <f t="shared" si="11"/>
        <v>1.6181818181818146</v>
      </c>
      <c r="G48" s="40">
        <f>COUNTIF(Vertices[In-Degree],"&gt;= "&amp;F48)-COUNTIF(Vertices[In-Degree],"&gt;="&amp;F49)</f>
        <v>0</v>
      </c>
      <c r="H48" s="39">
        <f t="shared" si="12"/>
        <v>3.0909090909090895</v>
      </c>
      <c r="I48" s="40">
        <f>COUNTIF(Vertices[Out-Degree],"&gt;= "&amp;H48)-COUNTIF(Vertices[Out-Degree],"&gt;="&amp;H49)</f>
        <v>0</v>
      </c>
      <c r="J48" s="39">
        <f t="shared" si="13"/>
        <v>11.127272727272732</v>
      </c>
      <c r="K48" s="40">
        <f>COUNTIF(Vertices[Betweenness Centrality],"&gt;= "&amp;J48)-COUNTIF(Vertices[Betweenness Centrality],"&gt;="&amp;J49)</f>
        <v>0</v>
      </c>
      <c r="L48" s="39">
        <f t="shared" si="14"/>
        <v>0.1660605636363635</v>
      </c>
      <c r="M48" s="40">
        <f>COUNTIF(Vertices[Closeness Centrality],"&gt;= "&amp;L48)-COUNTIF(Vertices[Closeness Centrality],"&gt;="&amp;L49)</f>
        <v>0</v>
      </c>
      <c r="N48" s="39">
        <f t="shared" si="15"/>
        <v>0.2191293818181818</v>
      </c>
      <c r="O48" s="40">
        <f>COUNTIF(Vertices[Eigenvector Centrality],"&gt;= "&amp;N48)-COUNTIF(Vertices[Eigenvector Centrality],"&gt;="&amp;N49)</f>
        <v>0</v>
      </c>
      <c r="P48" s="39">
        <f t="shared" si="16"/>
        <v>1.691695727272728</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1:21" ht="15">
      <c r="A49" s="35"/>
      <c r="B49" s="35"/>
      <c r="D49" s="34">
        <f t="shared" si="10"/>
        <v>0</v>
      </c>
      <c r="E49" s="3">
        <f>COUNTIF(Vertices[Degree],"&gt;= "&amp;D49)-COUNTIF(Vertices[Degree],"&gt;="&amp;D50)</f>
        <v>0</v>
      </c>
      <c r="F49" s="41">
        <f t="shared" si="11"/>
        <v>1.6363636363636327</v>
      </c>
      <c r="G49" s="42">
        <f>COUNTIF(Vertices[In-Degree],"&gt;= "&amp;F49)-COUNTIF(Vertices[In-Degree],"&gt;="&amp;F50)</f>
        <v>0</v>
      </c>
      <c r="H49" s="41">
        <f t="shared" si="12"/>
        <v>3.1818181818181803</v>
      </c>
      <c r="I49" s="42">
        <f>COUNTIF(Vertices[Out-Degree],"&gt;= "&amp;H49)-COUNTIF(Vertices[Out-Degree],"&gt;="&amp;H50)</f>
        <v>0</v>
      </c>
      <c r="J49" s="41">
        <f t="shared" si="13"/>
        <v>11.45454545454546</v>
      </c>
      <c r="K49" s="42">
        <f>COUNTIF(Vertices[Betweenness Centrality],"&gt;= "&amp;J49)-COUNTIF(Vertices[Betweenness Centrality],"&gt;="&amp;J50)</f>
        <v>0</v>
      </c>
      <c r="L49" s="41">
        <f t="shared" si="14"/>
        <v>0.16767672727272714</v>
      </c>
      <c r="M49" s="42">
        <f>COUNTIF(Vertices[Closeness Centrality],"&gt;= "&amp;L49)-COUNTIF(Vertices[Closeness Centrality],"&gt;="&amp;L50)</f>
        <v>0</v>
      </c>
      <c r="N49" s="41">
        <f t="shared" si="15"/>
        <v>0.22224536363636363</v>
      </c>
      <c r="O49" s="42">
        <f>COUNTIF(Vertices[Eigenvector Centrality],"&gt;= "&amp;N49)-COUNTIF(Vertices[Eigenvector Centrality],"&gt;="&amp;N50)</f>
        <v>0</v>
      </c>
      <c r="P49" s="41">
        <f t="shared" si="16"/>
        <v>1.7250764545454553</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1:21" ht="15">
      <c r="A50" s="35"/>
      <c r="B50" s="35"/>
      <c r="D50" s="34">
        <f t="shared" si="10"/>
        <v>0</v>
      </c>
      <c r="E50" s="3">
        <f>COUNTIF(Vertices[Degree],"&gt;= "&amp;D50)-COUNTIF(Vertices[Degree],"&gt;="&amp;D51)</f>
        <v>0</v>
      </c>
      <c r="F50" s="39">
        <f t="shared" si="11"/>
        <v>1.6545454545454508</v>
      </c>
      <c r="G50" s="40">
        <f>COUNTIF(Vertices[In-Degree],"&gt;= "&amp;F50)-COUNTIF(Vertices[In-Degree],"&gt;="&amp;F51)</f>
        <v>0</v>
      </c>
      <c r="H50" s="39">
        <f t="shared" si="12"/>
        <v>3.272727272727271</v>
      </c>
      <c r="I50" s="40">
        <f>COUNTIF(Vertices[Out-Degree],"&gt;= "&amp;H50)-COUNTIF(Vertices[Out-Degree],"&gt;="&amp;H51)</f>
        <v>0</v>
      </c>
      <c r="J50" s="39">
        <f t="shared" si="13"/>
        <v>11.781818181818188</v>
      </c>
      <c r="K50" s="40">
        <f>COUNTIF(Vertices[Betweenness Centrality],"&gt;= "&amp;J50)-COUNTIF(Vertices[Betweenness Centrality],"&gt;="&amp;J51)</f>
        <v>0</v>
      </c>
      <c r="L50" s="39">
        <f t="shared" si="14"/>
        <v>0.16929289090909078</v>
      </c>
      <c r="M50" s="40">
        <f>COUNTIF(Vertices[Closeness Centrality],"&gt;= "&amp;L50)-COUNTIF(Vertices[Closeness Centrality],"&gt;="&amp;L51)</f>
        <v>0</v>
      </c>
      <c r="N50" s="39">
        <f t="shared" si="15"/>
        <v>0.22536134545454545</v>
      </c>
      <c r="O50" s="40">
        <f>COUNTIF(Vertices[Eigenvector Centrality],"&gt;= "&amp;N50)-COUNTIF(Vertices[Eigenvector Centrality],"&gt;="&amp;N51)</f>
        <v>0</v>
      </c>
      <c r="P50" s="39">
        <f t="shared" si="16"/>
        <v>1.7584571818181827</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1.6727272727272688</v>
      </c>
      <c r="G51" s="42">
        <f>COUNTIF(Vertices[In-Degree],"&gt;= "&amp;F51)-COUNTIF(Vertices[In-Degree],"&gt;="&amp;F52)</f>
        <v>0</v>
      </c>
      <c r="H51" s="41">
        <f t="shared" si="12"/>
        <v>3.363636363636362</v>
      </c>
      <c r="I51" s="42">
        <f>COUNTIF(Vertices[Out-Degree],"&gt;= "&amp;H51)-COUNTIF(Vertices[Out-Degree],"&gt;="&amp;H52)</f>
        <v>0</v>
      </c>
      <c r="J51" s="41">
        <f t="shared" si="13"/>
        <v>12.109090909090916</v>
      </c>
      <c r="K51" s="42">
        <f>COUNTIF(Vertices[Betweenness Centrality],"&gt;= "&amp;J51)-COUNTIF(Vertices[Betweenness Centrality],"&gt;="&amp;J52)</f>
        <v>0</v>
      </c>
      <c r="L51" s="41">
        <f t="shared" si="14"/>
        <v>0.1709090545454544</v>
      </c>
      <c r="M51" s="42">
        <f>COUNTIF(Vertices[Closeness Centrality],"&gt;= "&amp;L51)-COUNTIF(Vertices[Closeness Centrality],"&gt;="&amp;L52)</f>
        <v>0</v>
      </c>
      <c r="N51" s="41">
        <f t="shared" si="15"/>
        <v>0.22847732727272727</v>
      </c>
      <c r="O51" s="42">
        <f>COUNTIF(Vertices[Eigenvector Centrality],"&gt;= "&amp;N51)-COUNTIF(Vertices[Eigenvector Centrality],"&gt;="&amp;N52)</f>
        <v>0</v>
      </c>
      <c r="P51" s="41">
        <f t="shared" si="16"/>
        <v>1.79183790909091</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1.690909090909087</v>
      </c>
      <c r="G52" s="40">
        <f>COUNTIF(Vertices[In-Degree],"&gt;= "&amp;F52)-COUNTIF(Vertices[In-Degree],"&gt;="&amp;F53)</f>
        <v>0</v>
      </c>
      <c r="H52" s="39">
        <f t="shared" si="12"/>
        <v>3.454545454545453</v>
      </c>
      <c r="I52" s="40">
        <f>COUNTIF(Vertices[Out-Degree],"&gt;= "&amp;H52)-COUNTIF(Vertices[Out-Degree],"&gt;="&amp;H53)</f>
        <v>0</v>
      </c>
      <c r="J52" s="39">
        <f t="shared" si="13"/>
        <v>12.436363636363645</v>
      </c>
      <c r="K52" s="40">
        <f>COUNTIF(Vertices[Betweenness Centrality],"&gt;= "&amp;J52)-COUNTIF(Vertices[Betweenness Centrality],"&gt;="&amp;J53)</f>
        <v>0</v>
      </c>
      <c r="L52" s="39">
        <f t="shared" si="14"/>
        <v>0.17252521818181804</v>
      </c>
      <c r="M52" s="40">
        <f>COUNTIF(Vertices[Closeness Centrality],"&gt;= "&amp;L52)-COUNTIF(Vertices[Closeness Centrality],"&gt;="&amp;L53)</f>
        <v>0</v>
      </c>
      <c r="N52" s="39">
        <f t="shared" si="15"/>
        <v>0.23159330909090908</v>
      </c>
      <c r="O52" s="40">
        <f>COUNTIF(Vertices[Eigenvector Centrality],"&gt;= "&amp;N52)-COUNTIF(Vertices[Eigenvector Centrality],"&gt;="&amp;N53)</f>
        <v>0</v>
      </c>
      <c r="P52" s="39">
        <f t="shared" si="16"/>
        <v>1.8252186363636373</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1.709090909090905</v>
      </c>
      <c r="G53" s="42">
        <f>COUNTIF(Vertices[In-Degree],"&gt;= "&amp;F53)-COUNTIF(Vertices[In-Degree],"&gt;="&amp;F54)</f>
        <v>0</v>
      </c>
      <c r="H53" s="41">
        <f t="shared" si="12"/>
        <v>3.5454545454545436</v>
      </c>
      <c r="I53" s="42">
        <f>COUNTIF(Vertices[Out-Degree],"&gt;= "&amp;H53)-COUNTIF(Vertices[Out-Degree],"&gt;="&amp;H54)</f>
        <v>0</v>
      </c>
      <c r="J53" s="41">
        <f t="shared" si="13"/>
        <v>12.763636363636373</v>
      </c>
      <c r="K53" s="42">
        <f>COUNTIF(Vertices[Betweenness Centrality],"&gt;= "&amp;J53)-COUNTIF(Vertices[Betweenness Centrality],"&gt;="&amp;J54)</f>
        <v>0</v>
      </c>
      <c r="L53" s="41">
        <f t="shared" si="14"/>
        <v>0.17414138181818167</v>
      </c>
      <c r="M53" s="42">
        <f>COUNTIF(Vertices[Closeness Centrality],"&gt;= "&amp;L53)-COUNTIF(Vertices[Closeness Centrality],"&gt;="&amp;L54)</f>
        <v>0</v>
      </c>
      <c r="N53" s="41">
        <f t="shared" si="15"/>
        <v>0.2347092909090909</v>
      </c>
      <c r="O53" s="42">
        <f>COUNTIF(Vertices[Eigenvector Centrality],"&gt;= "&amp;N53)-COUNTIF(Vertices[Eigenvector Centrality],"&gt;="&amp;N54)</f>
        <v>0</v>
      </c>
      <c r="P53" s="41">
        <f t="shared" si="16"/>
        <v>1.8585993636363647</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1.727272727272723</v>
      </c>
      <c r="G54" s="40">
        <f>COUNTIF(Vertices[In-Degree],"&gt;= "&amp;F54)-COUNTIF(Vertices[In-Degree],"&gt;="&amp;F55)</f>
        <v>0</v>
      </c>
      <c r="H54" s="39">
        <f t="shared" si="12"/>
        <v>3.6363636363636345</v>
      </c>
      <c r="I54" s="40">
        <f>COUNTIF(Vertices[Out-Degree],"&gt;= "&amp;H54)-COUNTIF(Vertices[Out-Degree],"&gt;="&amp;H55)</f>
        <v>0</v>
      </c>
      <c r="J54" s="39">
        <f t="shared" si="13"/>
        <v>13.0909090909091</v>
      </c>
      <c r="K54" s="40">
        <f>COUNTIF(Vertices[Betweenness Centrality],"&gt;= "&amp;J54)-COUNTIF(Vertices[Betweenness Centrality],"&gt;="&amp;J55)</f>
        <v>0</v>
      </c>
      <c r="L54" s="39">
        <f t="shared" si="14"/>
        <v>0.1757575454545453</v>
      </c>
      <c r="M54" s="40">
        <f>COUNTIF(Vertices[Closeness Centrality],"&gt;= "&amp;L54)-COUNTIF(Vertices[Closeness Centrality],"&gt;="&amp;L55)</f>
        <v>0</v>
      </c>
      <c r="N54" s="39">
        <f t="shared" si="15"/>
        <v>0.23782527272727272</v>
      </c>
      <c r="O54" s="40">
        <f>COUNTIF(Vertices[Eigenvector Centrality],"&gt;= "&amp;N54)-COUNTIF(Vertices[Eigenvector Centrality],"&gt;="&amp;N55)</f>
        <v>0</v>
      </c>
      <c r="P54" s="39">
        <f t="shared" si="16"/>
        <v>1.891980090909092</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1.7454545454545412</v>
      </c>
      <c r="G55" s="42">
        <f>COUNTIF(Vertices[In-Degree],"&gt;= "&amp;F55)-COUNTIF(Vertices[In-Degree],"&gt;="&amp;F56)</f>
        <v>0</v>
      </c>
      <c r="H55" s="41">
        <f t="shared" si="12"/>
        <v>3.7272727272727253</v>
      </c>
      <c r="I55" s="42">
        <f>COUNTIF(Vertices[Out-Degree],"&gt;= "&amp;H55)-COUNTIF(Vertices[Out-Degree],"&gt;="&amp;H56)</f>
        <v>0</v>
      </c>
      <c r="J55" s="41">
        <f t="shared" si="13"/>
        <v>13.418181818181829</v>
      </c>
      <c r="K55" s="42">
        <f>COUNTIF(Vertices[Betweenness Centrality],"&gt;= "&amp;J55)-COUNTIF(Vertices[Betweenness Centrality],"&gt;="&amp;J56)</f>
        <v>0</v>
      </c>
      <c r="L55" s="41">
        <f t="shared" si="14"/>
        <v>0.17737370909090894</v>
      </c>
      <c r="M55" s="42">
        <f>COUNTIF(Vertices[Closeness Centrality],"&gt;= "&amp;L55)-COUNTIF(Vertices[Closeness Centrality],"&gt;="&amp;L56)</f>
        <v>0</v>
      </c>
      <c r="N55" s="41">
        <f t="shared" si="15"/>
        <v>0.24094125454545454</v>
      </c>
      <c r="O55" s="42">
        <f>COUNTIF(Vertices[Eigenvector Centrality],"&gt;= "&amp;N55)-COUNTIF(Vertices[Eigenvector Centrality],"&gt;="&amp;N56)</f>
        <v>0</v>
      </c>
      <c r="P55" s="41">
        <f t="shared" si="16"/>
        <v>1.9253608181818194</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1.7636363636363592</v>
      </c>
      <c r="G56" s="40">
        <f>COUNTIF(Vertices[In-Degree],"&gt;= "&amp;F56)-COUNTIF(Vertices[In-Degree],"&gt;="&amp;F57)</f>
        <v>0</v>
      </c>
      <c r="H56" s="39">
        <f t="shared" si="12"/>
        <v>3.818181818181816</v>
      </c>
      <c r="I56" s="40">
        <f>COUNTIF(Vertices[Out-Degree],"&gt;= "&amp;H56)-COUNTIF(Vertices[Out-Degree],"&gt;="&amp;H57)</f>
        <v>0</v>
      </c>
      <c r="J56" s="39">
        <f t="shared" si="13"/>
        <v>13.745454545454557</v>
      </c>
      <c r="K56" s="40">
        <f>COUNTIF(Vertices[Betweenness Centrality],"&gt;= "&amp;J56)-COUNTIF(Vertices[Betweenness Centrality],"&gt;="&amp;J57)</f>
        <v>0</v>
      </c>
      <c r="L56" s="39">
        <f t="shared" si="14"/>
        <v>0.17898987272727257</v>
      </c>
      <c r="M56" s="40">
        <f>COUNTIF(Vertices[Closeness Centrality],"&gt;= "&amp;L56)-COUNTIF(Vertices[Closeness Centrality],"&gt;="&amp;L57)</f>
        <v>0</v>
      </c>
      <c r="N56" s="39">
        <f t="shared" si="15"/>
        <v>0.24405723636363635</v>
      </c>
      <c r="O56" s="40">
        <f>COUNTIF(Vertices[Eigenvector Centrality],"&gt;= "&amp;N56)-COUNTIF(Vertices[Eigenvector Centrality],"&gt;="&amp;N57)</f>
        <v>0</v>
      </c>
      <c r="P56" s="39">
        <f t="shared" si="16"/>
        <v>1.9587415454545467</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2</v>
      </c>
      <c r="G57" s="44">
        <f>COUNTIF(Vertices[In-Degree],"&gt;= "&amp;F57)-COUNTIF(Vertices[In-Degree],"&gt;="&amp;F58)</f>
        <v>1</v>
      </c>
      <c r="H57" s="43">
        <f>MAX(Vertices[Out-Degree])</f>
        <v>5</v>
      </c>
      <c r="I57" s="44">
        <f>COUNTIF(Vertices[Out-Degree],"&gt;= "&amp;H57)-COUNTIF(Vertices[Out-Degree],"&gt;="&amp;H58)</f>
        <v>1</v>
      </c>
      <c r="J57" s="43">
        <f>MAX(Vertices[Betweenness Centrality])</f>
        <v>18</v>
      </c>
      <c r="K57" s="44">
        <f>COUNTIF(Vertices[Betweenness Centrality],"&gt;= "&amp;J57)-COUNTIF(Vertices[Betweenness Centrality],"&gt;="&amp;J58)</f>
        <v>1</v>
      </c>
      <c r="L57" s="43">
        <f>MAX(Vertices[Closeness Centrality])</f>
        <v>0.2</v>
      </c>
      <c r="M57" s="44">
        <f>COUNTIF(Vertices[Closeness Centrality],"&gt;= "&amp;L57)-COUNTIF(Vertices[Closeness Centrality],"&gt;="&amp;L58)</f>
        <v>1</v>
      </c>
      <c r="N57" s="43">
        <f>MAX(Vertices[Eigenvector Centrality])</f>
        <v>0.284565</v>
      </c>
      <c r="O57" s="44">
        <f>COUNTIF(Vertices[Eigenvector Centrality],"&gt;= "&amp;N57)-COUNTIF(Vertices[Eigenvector Centrality],"&gt;="&amp;N58)</f>
        <v>1</v>
      </c>
      <c r="P57" s="43">
        <f>MAX(Vertices[PageRank])</f>
        <v>2.392691</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61" spans="1:2" ht="15">
      <c r="A61" s="35" t="s">
        <v>81</v>
      </c>
      <c r="B61" s="48" t="str">
        <f>IF(COUNT(Vertices[Degree])&gt;0,D2,NoMetricMessage)</f>
        <v>Not Available</v>
      </c>
    </row>
    <row r="62" spans="1:2" ht="15">
      <c r="A62" s="35" t="s">
        <v>82</v>
      </c>
      <c r="B62" s="48" t="str">
        <f>IF(COUNT(Vertices[Degree])&gt;0,D57,NoMetricMessage)</f>
        <v>Not Available</v>
      </c>
    </row>
    <row r="63" spans="1:2" ht="15">
      <c r="A63" s="35" t="s">
        <v>83</v>
      </c>
      <c r="B63" s="49" t="str">
        <f>_xlfn.IFERROR(AVERAGE(Vertices[Degree]),NoMetricMessage)</f>
        <v>Not Available</v>
      </c>
    </row>
    <row r="64" spans="1:2" ht="15">
      <c r="A64" s="35" t="s">
        <v>84</v>
      </c>
      <c r="B64" s="49" t="str">
        <f>_xlfn.IFERROR(MEDIAN(Vertices[Degree]),NoMetricMessage)</f>
        <v>Not Available</v>
      </c>
    </row>
    <row r="75" spans="1:2" ht="15">
      <c r="A75" s="35" t="s">
        <v>88</v>
      </c>
      <c r="B75" s="48">
        <f>IF(COUNT(Vertices[In-Degree])&gt;0,F2,NoMetricMessage)</f>
        <v>1</v>
      </c>
    </row>
    <row r="76" spans="1:2" ht="15">
      <c r="A76" s="35" t="s">
        <v>89</v>
      </c>
      <c r="B76" s="48">
        <f>IF(COUNT(Vertices[In-Degree])&gt;0,F57,NoMetricMessage)</f>
        <v>2</v>
      </c>
    </row>
    <row r="77" spans="1:2" ht="15">
      <c r="A77" s="35" t="s">
        <v>90</v>
      </c>
      <c r="B77" s="49">
        <f>_xlfn.IFERROR(AVERAGE(Vertices[In-Degree]),NoMetricMessage)</f>
        <v>1.1666666666666667</v>
      </c>
    </row>
    <row r="78" spans="1:2" ht="15">
      <c r="A78" s="35" t="s">
        <v>91</v>
      </c>
      <c r="B78" s="49">
        <f>_xlfn.IFERROR(MEDIAN(Vertices[In-Degree]),NoMetricMessage)</f>
        <v>1</v>
      </c>
    </row>
    <row r="89" spans="1:2" ht="15">
      <c r="A89" s="35" t="s">
        <v>94</v>
      </c>
      <c r="B89" s="48">
        <f>IF(COUNT(Vertices[Out-Degree])&gt;0,H2,NoMetricMessage)</f>
        <v>0</v>
      </c>
    </row>
    <row r="90" spans="1:2" ht="15">
      <c r="A90" s="35" t="s">
        <v>95</v>
      </c>
      <c r="B90" s="48">
        <f>IF(COUNT(Vertices[Out-Degree])&gt;0,H57,NoMetricMessage)</f>
        <v>5</v>
      </c>
    </row>
    <row r="91" spans="1:2" ht="15">
      <c r="A91" s="35" t="s">
        <v>96</v>
      </c>
      <c r="B91" s="49">
        <f>_xlfn.IFERROR(AVERAGE(Vertices[Out-Degree]),NoMetricMessage)</f>
        <v>1.1666666666666667</v>
      </c>
    </row>
    <row r="92" spans="1:2" ht="15">
      <c r="A92" s="35" t="s">
        <v>97</v>
      </c>
      <c r="B92" s="49">
        <f>_xlfn.IFERROR(MEDIAN(Vertices[Out-Degree]),NoMetricMessage)</f>
        <v>0</v>
      </c>
    </row>
    <row r="103" spans="1:2" ht="15">
      <c r="A103" s="35" t="s">
        <v>100</v>
      </c>
      <c r="B103" s="49">
        <f>IF(COUNT(Vertices[Betweenness Centrality])&gt;0,J2,NoMetricMessage)</f>
        <v>0</v>
      </c>
    </row>
    <row r="104" spans="1:2" ht="15">
      <c r="A104" s="35" t="s">
        <v>101</v>
      </c>
      <c r="B104" s="49">
        <f>IF(COUNT(Vertices[Betweenness Centrality])&gt;0,J57,NoMetricMessage)</f>
        <v>18</v>
      </c>
    </row>
    <row r="105" spans="1:2" ht="15">
      <c r="A105" s="35" t="s">
        <v>102</v>
      </c>
      <c r="B105" s="49">
        <f>_xlfn.IFERROR(AVERAGE(Vertices[Betweenness Centrality]),NoMetricMessage)</f>
        <v>3</v>
      </c>
    </row>
    <row r="106" spans="1:2" ht="15">
      <c r="A106" s="35" t="s">
        <v>103</v>
      </c>
      <c r="B106" s="49">
        <f>_xlfn.IFERROR(MEDIAN(Vertices[Betweenness Centrality]),NoMetricMessage)</f>
        <v>0</v>
      </c>
    </row>
    <row r="117" spans="1:2" ht="15">
      <c r="A117" s="35" t="s">
        <v>106</v>
      </c>
      <c r="B117" s="49">
        <f>IF(COUNT(Vertices[Closeness Centrality])&gt;0,L2,NoMetricMessage)</f>
        <v>0.111111</v>
      </c>
    </row>
    <row r="118" spans="1:2" ht="15">
      <c r="A118" s="35" t="s">
        <v>107</v>
      </c>
      <c r="B118" s="49">
        <f>IF(COUNT(Vertices[Closeness Centrality])&gt;0,L57,NoMetricMessage)</f>
        <v>0.2</v>
      </c>
    </row>
    <row r="119" spans="1:2" ht="15">
      <c r="A119" s="35" t="s">
        <v>108</v>
      </c>
      <c r="B119" s="49">
        <f>_xlfn.IFERROR(AVERAGE(Vertices[Closeness Centrality]),NoMetricMessage)</f>
        <v>0.13055550000000002</v>
      </c>
    </row>
    <row r="120" spans="1:2" ht="15">
      <c r="A120" s="35" t="s">
        <v>109</v>
      </c>
      <c r="B120" s="49">
        <f>_xlfn.IFERROR(MEDIAN(Vertices[Closeness Centrality]),NoMetricMessage)</f>
        <v>0.11805550000000001</v>
      </c>
    </row>
    <row r="131" spans="1:2" ht="15">
      <c r="A131" s="35" t="s">
        <v>112</v>
      </c>
      <c r="B131" s="49">
        <f>IF(COUNT(Vertices[Eigenvector Centrality])&gt;0,N2,NoMetricMessage)</f>
        <v>0.113186</v>
      </c>
    </row>
    <row r="132" spans="1:2" ht="15">
      <c r="A132" s="35" t="s">
        <v>113</v>
      </c>
      <c r="B132" s="49">
        <f>IF(COUNT(Vertices[Eigenvector Centrality])&gt;0,N57,NoMetricMessage)</f>
        <v>0.284565</v>
      </c>
    </row>
    <row r="133" spans="1:2" ht="15">
      <c r="A133" s="35" t="s">
        <v>114</v>
      </c>
      <c r="B133" s="49">
        <f>_xlfn.IFERROR(AVERAGE(Vertices[Eigenvector Centrality]),NoMetricMessage)</f>
        <v>0.16666683333333332</v>
      </c>
    </row>
    <row r="134" spans="1:2" ht="15">
      <c r="A134" s="35" t="s">
        <v>115</v>
      </c>
      <c r="B134" s="49">
        <f>_xlfn.IFERROR(MEDIAN(Vertices[Eigenvector Centrality]),NoMetricMessage)</f>
        <v>0.1505625</v>
      </c>
    </row>
    <row r="145" spans="1:2" ht="15">
      <c r="A145" s="35" t="s">
        <v>140</v>
      </c>
      <c r="B145" s="49">
        <f>IF(COUNT(Vertices[PageRank])&gt;0,P2,NoMetricMessage)</f>
        <v>0.556751</v>
      </c>
    </row>
    <row r="146" spans="1:2" ht="15">
      <c r="A146" s="35" t="s">
        <v>141</v>
      </c>
      <c r="B146" s="49">
        <f>IF(COUNT(Vertices[PageRank])&gt;0,P57,NoMetricMessage)</f>
        <v>2.392691</v>
      </c>
    </row>
    <row r="147" spans="1:2" ht="15">
      <c r="A147" s="35" t="s">
        <v>142</v>
      </c>
      <c r="B147" s="49">
        <f>_xlfn.IFERROR(AVERAGE(Vertices[PageRank]),NoMetricMessage)</f>
        <v>0.9999073333333336</v>
      </c>
    </row>
    <row r="148" spans="1:2" ht="15">
      <c r="A148" s="35" t="s">
        <v>143</v>
      </c>
      <c r="B148" s="49">
        <f>_xlfn.IFERROR(MEDIAN(Vertices[PageRank]),NoMetricMessage)</f>
        <v>0.7625005</v>
      </c>
    </row>
    <row r="159" spans="1:2" ht="15">
      <c r="A159" s="35" t="s">
        <v>118</v>
      </c>
      <c r="B159" s="49">
        <f>IF(COUNT(Vertices[Clustering Coefficient])&gt;0,R2,NoMetricMessage)</f>
        <v>0</v>
      </c>
    </row>
    <row r="160" spans="1:2" ht="15">
      <c r="A160" s="35" t="s">
        <v>119</v>
      </c>
      <c r="B160" s="49">
        <f>IF(COUNT(Vertices[Clustering Coefficient])&gt;0,R57,NoMetricMessage)</f>
        <v>1</v>
      </c>
    </row>
    <row r="161" spans="1:2" ht="15">
      <c r="A161" s="35" t="s">
        <v>120</v>
      </c>
      <c r="B161" s="49">
        <f>_xlfn.IFERROR(AVERAGE(Vertices[Clustering Coefficient]),NoMetricMessage)</f>
        <v>0.25833333333333336</v>
      </c>
    </row>
    <row r="162" spans="1:2" ht="15">
      <c r="A162" s="35" t="s">
        <v>121</v>
      </c>
      <c r="B162" s="49">
        <f>_xlfn.IFERROR(MEDIAN(Vertices[Clustering Coefficient]),NoMetricMessage)</f>
        <v>0.025</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305</v>
      </c>
      <c r="K7" s="13" t="s">
        <v>306</v>
      </c>
    </row>
    <row r="8" spans="1:11" ht="409.5">
      <c r="A8"/>
      <c r="B8">
        <v>2</v>
      </c>
      <c r="C8">
        <v>2</v>
      </c>
      <c r="D8" t="s">
        <v>61</v>
      </c>
      <c r="E8" t="s">
        <v>61</v>
      </c>
      <c r="H8" t="s">
        <v>73</v>
      </c>
      <c r="J8" t="s">
        <v>307</v>
      </c>
      <c r="K8" s="13" t="s">
        <v>308</v>
      </c>
    </row>
    <row r="9" spans="1:11" ht="409.5">
      <c r="A9"/>
      <c r="B9">
        <v>3</v>
      </c>
      <c r="C9">
        <v>4</v>
      </c>
      <c r="D9" t="s">
        <v>62</v>
      </c>
      <c r="E9" t="s">
        <v>62</v>
      </c>
      <c r="H9" t="s">
        <v>74</v>
      </c>
      <c r="J9" t="s">
        <v>309</v>
      </c>
      <c r="K9" s="13" t="s">
        <v>310</v>
      </c>
    </row>
    <row r="10" spans="1:11" ht="409.5">
      <c r="A10"/>
      <c r="B10">
        <v>4</v>
      </c>
      <c r="D10" t="s">
        <v>63</v>
      </c>
      <c r="E10" t="s">
        <v>63</v>
      </c>
      <c r="H10" t="s">
        <v>75</v>
      </c>
      <c r="J10" t="s">
        <v>311</v>
      </c>
      <c r="K10" s="13" t="s">
        <v>312</v>
      </c>
    </row>
    <row r="11" spans="1:11" ht="15">
      <c r="A11"/>
      <c r="B11">
        <v>5</v>
      </c>
      <c r="D11" t="s">
        <v>46</v>
      </c>
      <c r="E11">
        <v>1</v>
      </c>
      <c r="H11" t="s">
        <v>76</v>
      </c>
      <c r="J11" t="s">
        <v>313</v>
      </c>
      <c r="K11" t="s">
        <v>314</v>
      </c>
    </row>
    <row r="12" spans="1:11" ht="15">
      <c r="A12"/>
      <c r="B12"/>
      <c r="D12" t="s">
        <v>64</v>
      </c>
      <c r="E12">
        <v>2</v>
      </c>
      <c r="H12">
        <v>0</v>
      </c>
      <c r="J12" t="s">
        <v>315</v>
      </c>
      <c r="K12" t="s">
        <v>316</v>
      </c>
    </row>
    <row r="13" spans="1:11" ht="15">
      <c r="A13"/>
      <c r="B13"/>
      <c r="D13">
        <v>1</v>
      </c>
      <c r="E13">
        <v>3</v>
      </c>
      <c r="H13">
        <v>1</v>
      </c>
      <c r="J13" t="s">
        <v>317</v>
      </c>
      <c r="K13" t="s">
        <v>318</v>
      </c>
    </row>
    <row r="14" spans="4:11" ht="15">
      <c r="D14">
        <v>2</v>
      </c>
      <c r="E14">
        <v>4</v>
      </c>
      <c r="H14">
        <v>2</v>
      </c>
      <c r="J14" t="s">
        <v>319</v>
      </c>
      <c r="K14" t="s">
        <v>320</v>
      </c>
    </row>
    <row r="15" spans="4:11" ht="15">
      <c r="D15">
        <v>3</v>
      </c>
      <c r="E15">
        <v>5</v>
      </c>
      <c r="H15">
        <v>3</v>
      </c>
      <c r="J15" t="s">
        <v>321</v>
      </c>
      <c r="K15" t="s">
        <v>322</v>
      </c>
    </row>
    <row r="16" spans="4:11" ht="15">
      <c r="D16">
        <v>4</v>
      </c>
      <c r="E16">
        <v>6</v>
      </c>
      <c r="H16">
        <v>4</v>
      </c>
      <c r="J16" t="s">
        <v>323</v>
      </c>
      <c r="K16" t="s">
        <v>324</v>
      </c>
    </row>
    <row r="17" spans="4:11" ht="15">
      <c r="D17">
        <v>5</v>
      </c>
      <c r="E17">
        <v>7</v>
      </c>
      <c r="H17">
        <v>5</v>
      </c>
      <c r="J17" t="s">
        <v>325</v>
      </c>
      <c r="K17" t="s">
        <v>326</v>
      </c>
    </row>
    <row r="18" spans="4:11" ht="15">
      <c r="D18">
        <v>6</v>
      </c>
      <c r="E18">
        <v>8</v>
      </c>
      <c r="H18">
        <v>6</v>
      </c>
      <c r="J18" t="s">
        <v>327</v>
      </c>
      <c r="K18" t="s">
        <v>328</v>
      </c>
    </row>
    <row r="19" spans="4:11" ht="15">
      <c r="D19">
        <v>7</v>
      </c>
      <c r="E19">
        <v>9</v>
      </c>
      <c r="H19">
        <v>7</v>
      </c>
      <c r="J19" t="s">
        <v>329</v>
      </c>
      <c r="K19" t="s">
        <v>330</v>
      </c>
    </row>
    <row r="20" spans="4:11" ht="15">
      <c r="D20">
        <v>8</v>
      </c>
      <c r="H20">
        <v>8</v>
      </c>
      <c r="J20" t="s">
        <v>331</v>
      </c>
      <c r="K20" t="s">
        <v>332</v>
      </c>
    </row>
    <row r="21" spans="4:11" ht="409.5">
      <c r="D21">
        <v>9</v>
      </c>
      <c r="H21">
        <v>9</v>
      </c>
      <c r="J21" t="s">
        <v>333</v>
      </c>
      <c r="K21" s="13" t="s">
        <v>334</v>
      </c>
    </row>
    <row r="22" spans="4:11" ht="409.5">
      <c r="D22">
        <v>10</v>
      </c>
      <c r="J22" t="s">
        <v>335</v>
      </c>
      <c r="K22" s="13" t="s">
        <v>336</v>
      </c>
    </row>
    <row r="23" spans="4:11" ht="409.5">
      <c r="D23">
        <v>11</v>
      </c>
      <c r="J23" t="s">
        <v>337</v>
      </c>
      <c r="K23" s="13" t="s">
        <v>338</v>
      </c>
    </row>
    <row r="24" spans="10:11" ht="409.5">
      <c r="J24" t="s">
        <v>339</v>
      </c>
      <c r="K24" s="13" t="s">
        <v>503</v>
      </c>
    </row>
    <row r="25" spans="10:11" ht="15">
      <c r="J25" t="s">
        <v>340</v>
      </c>
      <c r="K25" t="b">
        <v>0</v>
      </c>
    </row>
    <row r="26" spans="10:11" ht="15">
      <c r="J26" t="s">
        <v>501</v>
      </c>
      <c r="K26" t="s">
        <v>502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5" t="s">
        <v>349</v>
      </c>
      <c r="B1" s="85" t="s">
        <v>350</v>
      </c>
      <c r="C1" s="85" t="s">
        <v>351</v>
      </c>
      <c r="D1" s="85" t="s">
        <v>353</v>
      </c>
      <c r="E1" s="85" t="s">
        <v>352</v>
      </c>
      <c r="F1" s="85" t="s">
        <v>354</v>
      </c>
    </row>
    <row r="2" spans="1:6" ht="15">
      <c r="A2" s="85"/>
      <c r="B2" s="85"/>
      <c r="C2" s="85"/>
      <c r="D2" s="85"/>
      <c r="E2" s="85"/>
      <c r="F2" s="85"/>
    </row>
    <row r="4" spans="1:6" ht="15" customHeight="1">
      <c r="A4" s="85" t="s">
        <v>356</v>
      </c>
      <c r="B4" s="85" t="s">
        <v>350</v>
      </c>
      <c r="C4" s="85" t="s">
        <v>357</v>
      </c>
      <c r="D4" s="85" t="s">
        <v>353</v>
      </c>
      <c r="E4" s="85" t="s">
        <v>358</v>
      </c>
      <c r="F4" s="85" t="s">
        <v>354</v>
      </c>
    </row>
    <row r="5" spans="1:6" ht="15">
      <c r="A5" s="85"/>
      <c r="B5" s="85"/>
      <c r="C5" s="85"/>
      <c r="D5" s="85"/>
      <c r="E5" s="85"/>
      <c r="F5" s="85"/>
    </row>
    <row r="7" spans="1:6" ht="15" customHeight="1">
      <c r="A7" s="13" t="s">
        <v>360</v>
      </c>
      <c r="B7" s="13" t="s">
        <v>350</v>
      </c>
      <c r="C7" s="13" t="s">
        <v>365</v>
      </c>
      <c r="D7" s="13" t="s">
        <v>353</v>
      </c>
      <c r="E7" s="13" t="s">
        <v>366</v>
      </c>
      <c r="F7" s="13" t="s">
        <v>354</v>
      </c>
    </row>
    <row r="8" spans="1:6" ht="15">
      <c r="A8" s="85" t="s">
        <v>361</v>
      </c>
      <c r="B8" s="85">
        <v>2</v>
      </c>
      <c r="C8" s="85" t="s">
        <v>361</v>
      </c>
      <c r="D8" s="85">
        <v>1</v>
      </c>
      <c r="E8" s="85" t="s">
        <v>361</v>
      </c>
      <c r="F8" s="85">
        <v>1</v>
      </c>
    </row>
    <row r="9" spans="1:6" ht="15">
      <c r="A9" s="85" t="s">
        <v>362</v>
      </c>
      <c r="B9" s="85">
        <v>2</v>
      </c>
      <c r="C9" s="85" t="s">
        <v>362</v>
      </c>
      <c r="D9" s="85">
        <v>1</v>
      </c>
      <c r="E9" s="85" t="s">
        <v>362</v>
      </c>
      <c r="F9" s="85">
        <v>1</v>
      </c>
    </row>
    <row r="10" spans="1:6" ht="15">
      <c r="A10" s="85" t="s">
        <v>363</v>
      </c>
      <c r="B10" s="85">
        <v>1</v>
      </c>
      <c r="C10" s="85" t="s">
        <v>363</v>
      </c>
      <c r="D10" s="85">
        <v>1</v>
      </c>
      <c r="E10" s="85"/>
      <c r="F10" s="85"/>
    </row>
    <row r="11" spans="1:6" ht="15">
      <c r="A11" s="85" t="s">
        <v>364</v>
      </c>
      <c r="B11" s="85">
        <v>1</v>
      </c>
      <c r="C11" s="85" t="s">
        <v>364</v>
      </c>
      <c r="D11" s="85">
        <v>1</v>
      </c>
      <c r="E11" s="85"/>
      <c r="F11" s="85"/>
    </row>
    <row r="14" spans="1:6" ht="15" customHeight="1">
      <c r="A14" s="13" t="s">
        <v>368</v>
      </c>
      <c r="B14" s="13" t="s">
        <v>350</v>
      </c>
      <c r="C14" s="13" t="s">
        <v>379</v>
      </c>
      <c r="D14" s="13" t="s">
        <v>353</v>
      </c>
      <c r="E14" s="85" t="s">
        <v>381</v>
      </c>
      <c r="F14" s="85" t="s">
        <v>354</v>
      </c>
    </row>
    <row r="15" spans="1:6" ht="15">
      <c r="A15" s="91" t="s">
        <v>369</v>
      </c>
      <c r="B15" s="91">
        <v>2</v>
      </c>
      <c r="C15" s="91" t="s">
        <v>374</v>
      </c>
      <c r="D15" s="91">
        <v>3</v>
      </c>
      <c r="E15" s="91"/>
      <c r="F15" s="91"/>
    </row>
    <row r="16" spans="1:6" ht="15">
      <c r="A16" s="91" t="s">
        <v>370</v>
      </c>
      <c r="B16" s="91">
        <v>0</v>
      </c>
      <c r="C16" s="91" t="s">
        <v>380</v>
      </c>
      <c r="D16" s="91">
        <v>2</v>
      </c>
      <c r="E16" s="91"/>
      <c r="F16" s="91"/>
    </row>
    <row r="17" spans="1:6" ht="15">
      <c r="A17" s="91" t="s">
        <v>371</v>
      </c>
      <c r="B17" s="91">
        <v>0</v>
      </c>
      <c r="C17" s="91"/>
      <c r="D17" s="91"/>
      <c r="E17" s="91"/>
      <c r="F17" s="91"/>
    </row>
    <row r="18" spans="1:6" ht="15">
      <c r="A18" s="91" t="s">
        <v>372</v>
      </c>
      <c r="B18" s="91">
        <v>67</v>
      </c>
      <c r="C18" s="91"/>
      <c r="D18" s="91"/>
      <c r="E18" s="91"/>
      <c r="F18" s="91"/>
    </row>
    <row r="19" spans="1:6" ht="15">
      <c r="A19" s="91" t="s">
        <v>373</v>
      </c>
      <c r="B19" s="91">
        <v>69</v>
      </c>
      <c r="C19" s="91"/>
      <c r="D19" s="91"/>
      <c r="E19" s="91"/>
      <c r="F19" s="91"/>
    </row>
    <row r="20" spans="1:6" ht="15">
      <c r="A20" s="91" t="s">
        <v>374</v>
      </c>
      <c r="B20" s="91">
        <v>4</v>
      </c>
      <c r="C20" s="91"/>
      <c r="D20" s="91"/>
      <c r="E20" s="91"/>
      <c r="F20" s="91"/>
    </row>
    <row r="21" spans="1:6" ht="15">
      <c r="A21" s="91" t="s">
        <v>375</v>
      </c>
      <c r="B21" s="91">
        <v>2</v>
      </c>
      <c r="C21" s="91"/>
      <c r="D21" s="91"/>
      <c r="E21" s="91"/>
      <c r="F21" s="91"/>
    </row>
    <row r="22" spans="1:6" ht="15">
      <c r="A22" s="91" t="s">
        <v>376</v>
      </c>
      <c r="B22" s="91">
        <v>2</v>
      </c>
      <c r="C22" s="91"/>
      <c r="D22" s="91"/>
      <c r="E22" s="91"/>
      <c r="F22" s="91"/>
    </row>
    <row r="23" spans="1:6" ht="15">
      <c r="A23" s="91" t="s">
        <v>377</v>
      </c>
      <c r="B23" s="91">
        <v>2</v>
      </c>
      <c r="C23" s="91"/>
      <c r="D23" s="91"/>
      <c r="E23" s="91"/>
      <c r="F23" s="91"/>
    </row>
    <row r="24" spans="1:6" ht="15">
      <c r="A24" s="91" t="s">
        <v>378</v>
      </c>
      <c r="B24" s="91">
        <v>2</v>
      </c>
      <c r="C24" s="91"/>
      <c r="D24" s="91"/>
      <c r="E24" s="91"/>
      <c r="F24" s="91"/>
    </row>
    <row r="27" spans="1:6" ht="15" customHeight="1">
      <c r="A27" s="13" t="s">
        <v>384</v>
      </c>
      <c r="B27" s="13" t="s">
        <v>350</v>
      </c>
      <c r="C27" s="13" t="s">
        <v>395</v>
      </c>
      <c r="D27" s="13" t="s">
        <v>353</v>
      </c>
      <c r="E27" s="85" t="s">
        <v>397</v>
      </c>
      <c r="F27" s="85" t="s">
        <v>354</v>
      </c>
    </row>
    <row r="28" spans="1:6" ht="15">
      <c r="A28" s="91" t="s">
        <v>385</v>
      </c>
      <c r="B28" s="91">
        <v>2</v>
      </c>
      <c r="C28" s="91" t="s">
        <v>396</v>
      </c>
      <c r="D28" s="91">
        <v>2</v>
      </c>
      <c r="E28" s="91"/>
      <c r="F28" s="91"/>
    </row>
    <row r="29" spans="1:6" ht="15">
      <c r="A29" s="91" t="s">
        <v>386</v>
      </c>
      <c r="B29" s="91">
        <v>2</v>
      </c>
      <c r="C29" s="91"/>
      <c r="D29" s="91"/>
      <c r="E29" s="91"/>
      <c r="F29" s="91"/>
    </row>
    <row r="30" spans="1:6" ht="15">
      <c r="A30" s="91" t="s">
        <v>387</v>
      </c>
      <c r="B30" s="91">
        <v>2</v>
      </c>
      <c r="C30" s="91"/>
      <c r="D30" s="91"/>
      <c r="E30" s="91"/>
      <c r="F30" s="91"/>
    </row>
    <row r="31" spans="1:6" ht="15">
      <c r="A31" s="91" t="s">
        <v>388</v>
      </c>
      <c r="B31" s="91">
        <v>2</v>
      </c>
      <c r="C31" s="91"/>
      <c r="D31" s="91"/>
      <c r="E31" s="91"/>
      <c r="F31" s="91"/>
    </row>
    <row r="32" spans="1:6" ht="15">
      <c r="A32" s="91" t="s">
        <v>389</v>
      </c>
      <c r="B32" s="91">
        <v>2</v>
      </c>
      <c r="C32" s="91"/>
      <c r="D32" s="91"/>
      <c r="E32" s="91"/>
      <c r="F32" s="91"/>
    </row>
    <row r="33" spans="1:6" ht="15">
      <c r="A33" s="91" t="s">
        <v>390</v>
      </c>
      <c r="B33" s="91">
        <v>2</v>
      </c>
      <c r="C33" s="91"/>
      <c r="D33" s="91"/>
      <c r="E33" s="91"/>
      <c r="F33" s="91"/>
    </row>
    <row r="34" spans="1:6" ht="15">
      <c r="A34" s="91" t="s">
        <v>391</v>
      </c>
      <c r="B34" s="91">
        <v>2</v>
      </c>
      <c r="C34" s="91"/>
      <c r="D34" s="91"/>
      <c r="E34" s="91"/>
      <c r="F34" s="91"/>
    </row>
    <row r="35" spans="1:6" ht="15">
      <c r="A35" s="91" t="s">
        <v>392</v>
      </c>
      <c r="B35" s="91">
        <v>2</v>
      </c>
      <c r="C35" s="91"/>
      <c r="D35" s="91"/>
      <c r="E35" s="91"/>
      <c r="F35" s="91"/>
    </row>
    <row r="36" spans="1:6" ht="15">
      <c r="A36" s="91" t="s">
        <v>393</v>
      </c>
      <c r="B36" s="91">
        <v>2</v>
      </c>
      <c r="C36" s="91"/>
      <c r="D36" s="91"/>
      <c r="E36" s="91"/>
      <c r="F36" s="91"/>
    </row>
    <row r="37" spans="1:6" ht="15">
      <c r="A37" s="91" t="s">
        <v>394</v>
      </c>
      <c r="B37" s="91">
        <v>2</v>
      </c>
      <c r="C37" s="91"/>
      <c r="D37" s="91"/>
      <c r="E37" s="91"/>
      <c r="F37" s="91"/>
    </row>
    <row r="40" spans="1:6" ht="15" customHeight="1">
      <c r="A40" s="85" t="s">
        <v>399</v>
      </c>
      <c r="B40" s="85" t="s">
        <v>350</v>
      </c>
      <c r="C40" s="85" t="s">
        <v>401</v>
      </c>
      <c r="D40" s="85" t="s">
        <v>353</v>
      </c>
      <c r="E40" s="85" t="s">
        <v>402</v>
      </c>
      <c r="F40" s="85" t="s">
        <v>354</v>
      </c>
    </row>
    <row r="41" spans="1:6" ht="15">
      <c r="A41" s="85"/>
      <c r="B41" s="85"/>
      <c r="C41" s="85"/>
      <c r="D41" s="85"/>
      <c r="E41" s="85"/>
      <c r="F41" s="85"/>
    </row>
    <row r="43" spans="1:6" ht="15" customHeight="1">
      <c r="A43" s="13" t="s">
        <v>400</v>
      </c>
      <c r="B43" s="13" t="s">
        <v>350</v>
      </c>
      <c r="C43" s="13" t="s">
        <v>403</v>
      </c>
      <c r="D43" s="13" t="s">
        <v>353</v>
      </c>
      <c r="E43" s="13" t="s">
        <v>404</v>
      </c>
      <c r="F43" s="13" t="s">
        <v>354</v>
      </c>
    </row>
    <row r="44" spans="1:6" ht="15">
      <c r="A44" s="85" t="s">
        <v>217</v>
      </c>
      <c r="B44" s="85">
        <v>2</v>
      </c>
      <c r="C44" s="85" t="s">
        <v>217</v>
      </c>
      <c r="D44" s="85">
        <v>1</v>
      </c>
      <c r="E44" s="85" t="s">
        <v>212</v>
      </c>
      <c r="F44" s="85">
        <v>1</v>
      </c>
    </row>
    <row r="45" spans="1:6" ht="15">
      <c r="A45" s="85" t="s">
        <v>212</v>
      </c>
      <c r="B45" s="85">
        <v>1</v>
      </c>
      <c r="C45" s="85" t="s">
        <v>213</v>
      </c>
      <c r="D45" s="85">
        <v>1</v>
      </c>
      <c r="E45" s="85" t="s">
        <v>217</v>
      </c>
      <c r="F45" s="85">
        <v>1</v>
      </c>
    </row>
    <row r="46" spans="1:6" ht="15">
      <c r="A46" s="85" t="s">
        <v>213</v>
      </c>
      <c r="B46" s="85">
        <v>1</v>
      </c>
      <c r="C46" s="85" t="s">
        <v>216</v>
      </c>
      <c r="D46" s="85">
        <v>1</v>
      </c>
      <c r="E46" s="85"/>
      <c r="F46" s="85"/>
    </row>
    <row r="47" spans="1:6" ht="15">
      <c r="A47" s="85" t="s">
        <v>216</v>
      </c>
      <c r="B47" s="85">
        <v>1</v>
      </c>
      <c r="C47" s="85" t="s">
        <v>215</v>
      </c>
      <c r="D47" s="85">
        <v>1</v>
      </c>
      <c r="E47" s="85"/>
      <c r="F47" s="85"/>
    </row>
    <row r="48" spans="1:6" ht="15">
      <c r="A48" s="85" t="s">
        <v>215</v>
      </c>
      <c r="B48" s="85">
        <v>1</v>
      </c>
      <c r="C48" s="85" t="s">
        <v>214</v>
      </c>
      <c r="D48" s="85">
        <v>1</v>
      </c>
      <c r="E48" s="85"/>
      <c r="F48" s="85"/>
    </row>
    <row r="49" spans="1:6" ht="15">
      <c r="A49" s="85" t="s">
        <v>214</v>
      </c>
      <c r="B49" s="85">
        <v>1</v>
      </c>
      <c r="C49" s="85"/>
      <c r="D49" s="85"/>
      <c r="E49" s="85"/>
      <c r="F49" s="85"/>
    </row>
    <row r="52" spans="1:6" ht="15" customHeight="1">
      <c r="A52" s="13" t="s">
        <v>409</v>
      </c>
      <c r="B52" s="13" t="s">
        <v>350</v>
      </c>
      <c r="C52" s="13" t="s">
        <v>410</v>
      </c>
      <c r="D52" s="13" t="s">
        <v>353</v>
      </c>
      <c r="E52" s="13" t="s">
        <v>411</v>
      </c>
      <c r="F52" s="13" t="s">
        <v>354</v>
      </c>
    </row>
    <row r="53" spans="1:6" ht="15">
      <c r="A53" s="124" t="s">
        <v>217</v>
      </c>
      <c r="B53" s="85">
        <v>2158</v>
      </c>
      <c r="C53" s="124" t="s">
        <v>215</v>
      </c>
      <c r="D53" s="85">
        <v>1662</v>
      </c>
      <c r="E53" s="124" t="s">
        <v>217</v>
      </c>
      <c r="F53" s="85">
        <v>2158</v>
      </c>
    </row>
    <row r="54" spans="1:6" ht="15">
      <c r="A54" s="124" t="s">
        <v>213</v>
      </c>
      <c r="B54" s="85">
        <v>1721</v>
      </c>
      <c r="C54" s="124" t="s">
        <v>212</v>
      </c>
      <c r="D54" s="85">
        <v>1146</v>
      </c>
      <c r="E54" s="124" t="s">
        <v>213</v>
      </c>
      <c r="F54" s="85">
        <v>1721</v>
      </c>
    </row>
    <row r="55" spans="1:6" ht="15">
      <c r="A55" s="124" t="s">
        <v>215</v>
      </c>
      <c r="B55" s="85">
        <v>1662</v>
      </c>
      <c r="C55" s="124" t="s">
        <v>216</v>
      </c>
      <c r="D55" s="85">
        <v>605</v>
      </c>
      <c r="E55" s="124"/>
      <c r="F55" s="85"/>
    </row>
    <row r="56" spans="1:6" ht="15">
      <c r="A56" s="124" t="s">
        <v>212</v>
      </c>
      <c r="B56" s="85">
        <v>1146</v>
      </c>
      <c r="C56" s="124" t="s">
        <v>214</v>
      </c>
      <c r="D56" s="85">
        <v>91</v>
      </c>
      <c r="E56" s="124"/>
      <c r="F56" s="85"/>
    </row>
    <row r="57" spans="1:6" ht="15">
      <c r="A57" s="124" t="s">
        <v>216</v>
      </c>
      <c r="B57" s="85">
        <v>605</v>
      </c>
      <c r="C57" s="124"/>
      <c r="D57" s="85"/>
      <c r="E57" s="124"/>
      <c r="F57" s="85"/>
    </row>
    <row r="58" spans="1:6" ht="15">
      <c r="A58" s="124" t="s">
        <v>214</v>
      </c>
      <c r="B58" s="85">
        <v>91</v>
      </c>
      <c r="C58" s="124"/>
      <c r="D58" s="85"/>
      <c r="E58" s="124"/>
      <c r="F58" s="85"/>
    </row>
  </sheetData>
  <printOptions/>
  <pageMargins left="0.7" right="0.7" top="0.75" bottom="0.75" header="0.3" footer="0.3"/>
  <pageSetup orientation="portrait" paperSize="9"/>
  <tableParts>
    <tablePart r:id="rId6"/>
    <tablePart r:id="rId5"/>
    <tablePart r:id="rId2"/>
    <tablePart r:id="rId1"/>
    <tablePart r:id="rId4"/>
    <tablePart r:id="rId7"/>
    <tablePart r:id="rId3"/>
    <tablePart r:id="rId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429</v>
      </c>
      <c r="B1" s="13" t="s">
        <v>436</v>
      </c>
      <c r="C1" s="13" t="s">
        <v>437</v>
      </c>
      <c r="D1" s="13" t="s">
        <v>144</v>
      </c>
      <c r="E1" s="13" t="s">
        <v>439</v>
      </c>
      <c r="F1" s="13" t="s">
        <v>440</v>
      </c>
      <c r="G1" s="13" t="s">
        <v>441</v>
      </c>
    </row>
    <row r="2" spans="1:7" ht="15">
      <c r="A2" s="85" t="s">
        <v>369</v>
      </c>
      <c r="B2" s="85">
        <v>2</v>
      </c>
      <c r="C2" s="129">
        <v>0.028985507246376812</v>
      </c>
      <c r="D2" s="85" t="s">
        <v>438</v>
      </c>
      <c r="E2" s="85"/>
      <c r="F2" s="85"/>
      <c r="G2" s="85"/>
    </row>
    <row r="3" spans="1:7" ht="15">
      <c r="A3" s="85" t="s">
        <v>370</v>
      </c>
      <c r="B3" s="85">
        <v>0</v>
      </c>
      <c r="C3" s="129">
        <v>0</v>
      </c>
      <c r="D3" s="85" t="s">
        <v>438</v>
      </c>
      <c r="E3" s="85"/>
      <c r="F3" s="85"/>
      <c r="G3" s="85"/>
    </row>
    <row r="4" spans="1:7" ht="15">
      <c r="A4" s="85" t="s">
        <v>371</v>
      </c>
      <c r="B4" s="85">
        <v>0</v>
      </c>
      <c r="C4" s="129">
        <v>0</v>
      </c>
      <c r="D4" s="85" t="s">
        <v>438</v>
      </c>
      <c r="E4" s="85"/>
      <c r="F4" s="85"/>
      <c r="G4" s="85"/>
    </row>
    <row r="5" spans="1:7" ht="15">
      <c r="A5" s="85" t="s">
        <v>372</v>
      </c>
      <c r="B5" s="85">
        <v>67</v>
      </c>
      <c r="C5" s="129">
        <v>0.9710144927536232</v>
      </c>
      <c r="D5" s="85" t="s">
        <v>438</v>
      </c>
      <c r="E5" s="85"/>
      <c r="F5" s="85"/>
      <c r="G5" s="85"/>
    </row>
    <row r="6" spans="1:7" ht="15">
      <c r="A6" s="85" t="s">
        <v>373</v>
      </c>
      <c r="B6" s="85">
        <v>69</v>
      </c>
      <c r="C6" s="129">
        <v>1</v>
      </c>
      <c r="D6" s="85" t="s">
        <v>438</v>
      </c>
      <c r="E6" s="85"/>
      <c r="F6" s="85"/>
      <c r="G6" s="85"/>
    </row>
    <row r="7" spans="1:7" ht="15">
      <c r="A7" s="91" t="s">
        <v>374</v>
      </c>
      <c r="B7" s="91">
        <v>4</v>
      </c>
      <c r="C7" s="130">
        <v>0</v>
      </c>
      <c r="D7" s="91" t="s">
        <v>438</v>
      </c>
      <c r="E7" s="91" t="b">
        <v>0</v>
      </c>
      <c r="F7" s="91" t="b">
        <v>0</v>
      </c>
      <c r="G7" s="91" t="b">
        <v>0</v>
      </c>
    </row>
    <row r="8" spans="1:7" ht="15">
      <c r="A8" s="91" t="s">
        <v>375</v>
      </c>
      <c r="B8" s="91">
        <v>2</v>
      </c>
      <c r="C8" s="130">
        <v>0</v>
      </c>
      <c r="D8" s="91" t="s">
        <v>438</v>
      </c>
      <c r="E8" s="91" t="b">
        <v>0</v>
      </c>
      <c r="F8" s="91" t="b">
        <v>0</v>
      </c>
      <c r="G8" s="91" t="b">
        <v>0</v>
      </c>
    </row>
    <row r="9" spans="1:7" ht="15">
      <c r="A9" s="91" t="s">
        <v>376</v>
      </c>
      <c r="B9" s="91">
        <v>2</v>
      </c>
      <c r="C9" s="130">
        <v>0</v>
      </c>
      <c r="D9" s="91" t="s">
        <v>438</v>
      </c>
      <c r="E9" s="91" t="b">
        <v>0</v>
      </c>
      <c r="F9" s="91" t="b">
        <v>0</v>
      </c>
      <c r="G9" s="91" t="b">
        <v>0</v>
      </c>
    </row>
    <row r="10" spans="1:7" ht="15">
      <c r="A10" s="91" t="s">
        <v>377</v>
      </c>
      <c r="B10" s="91">
        <v>2</v>
      </c>
      <c r="C10" s="130">
        <v>0</v>
      </c>
      <c r="D10" s="91" t="s">
        <v>438</v>
      </c>
      <c r="E10" s="91" t="b">
        <v>0</v>
      </c>
      <c r="F10" s="91" t="b">
        <v>0</v>
      </c>
      <c r="G10" s="91" t="b">
        <v>0</v>
      </c>
    </row>
    <row r="11" spans="1:7" ht="15">
      <c r="A11" s="91" t="s">
        <v>378</v>
      </c>
      <c r="B11" s="91">
        <v>2</v>
      </c>
      <c r="C11" s="130">
        <v>0</v>
      </c>
      <c r="D11" s="91" t="s">
        <v>438</v>
      </c>
      <c r="E11" s="91" t="b">
        <v>0</v>
      </c>
      <c r="F11" s="91" t="b">
        <v>0</v>
      </c>
      <c r="G11" s="91" t="b">
        <v>0</v>
      </c>
    </row>
    <row r="12" spans="1:7" ht="15">
      <c r="A12" s="91" t="s">
        <v>430</v>
      </c>
      <c r="B12" s="91">
        <v>2</v>
      </c>
      <c r="C12" s="130">
        <v>0</v>
      </c>
      <c r="D12" s="91" t="s">
        <v>438</v>
      </c>
      <c r="E12" s="91" t="b">
        <v>0</v>
      </c>
      <c r="F12" s="91" t="b">
        <v>0</v>
      </c>
      <c r="G12" s="91" t="b">
        <v>0</v>
      </c>
    </row>
    <row r="13" spans="1:7" ht="15">
      <c r="A13" s="91" t="s">
        <v>431</v>
      </c>
      <c r="B13" s="91">
        <v>2</v>
      </c>
      <c r="C13" s="130">
        <v>0</v>
      </c>
      <c r="D13" s="91" t="s">
        <v>438</v>
      </c>
      <c r="E13" s="91" t="b">
        <v>0</v>
      </c>
      <c r="F13" s="91" t="b">
        <v>0</v>
      </c>
      <c r="G13" s="91" t="b">
        <v>0</v>
      </c>
    </row>
    <row r="14" spans="1:7" ht="15">
      <c r="A14" s="91" t="s">
        <v>432</v>
      </c>
      <c r="B14" s="91">
        <v>2</v>
      </c>
      <c r="C14" s="130">
        <v>0</v>
      </c>
      <c r="D14" s="91" t="s">
        <v>438</v>
      </c>
      <c r="E14" s="91" t="b">
        <v>0</v>
      </c>
      <c r="F14" s="91" t="b">
        <v>0</v>
      </c>
      <c r="G14" s="91" t="b">
        <v>0</v>
      </c>
    </row>
    <row r="15" spans="1:7" ht="15">
      <c r="A15" s="91" t="s">
        <v>433</v>
      </c>
      <c r="B15" s="91">
        <v>2</v>
      </c>
      <c r="C15" s="130">
        <v>0</v>
      </c>
      <c r="D15" s="91" t="s">
        <v>438</v>
      </c>
      <c r="E15" s="91" t="b">
        <v>1</v>
      </c>
      <c r="F15" s="91" t="b">
        <v>0</v>
      </c>
      <c r="G15" s="91" t="b">
        <v>0</v>
      </c>
    </row>
    <row r="16" spans="1:7" ht="15">
      <c r="A16" s="91" t="s">
        <v>434</v>
      </c>
      <c r="B16" s="91">
        <v>2</v>
      </c>
      <c r="C16" s="130">
        <v>0</v>
      </c>
      <c r="D16" s="91" t="s">
        <v>438</v>
      </c>
      <c r="E16" s="91" t="b">
        <v>0</v>
      </c>
      <c r="F16" s="91" t="b">
        <v>0</v>
      </c>
      <c r="G16" s="91" t="b">
        <v>0</v>
      </c>
    </row>
    <row r="17" spans="1:7" ht="15">
      <c r="A17" s="91" t="s">
        <v>435</v>
      </c>
      <c r="B17" s="91">
        <v>2</v>
      </c>
      <c r="C17" s="130">
        <v>0</v>
      </c>
      <c r="D17" s="91" t="s">
        <v>438</v>
      </c>
      <c r="E17" s="91" t="b">
        <v>0</v>
      </c>
      <c r="F17" s="91" t="b">
        <v>0</v>
      </c>
      <c r="G17" s="91" t="b">
        <v>0</v>
      </c>
    </row>
    <row r="18" spans="1:7" ht="15">
      <c r="A18" s="91" t="s">
        <v>217</v>
      </c>
      <c r="B18" s="91">
        <v>2</v>
      </c>
      <c r="C18" s="130">
        <v>0</v>
      </c>
      <c r="D18" s="91" t="s">
        <v>438</v>
      </c>
      <c r="E18" s="91" t="b">
        <v>0</v>
      </c>
      <c r="F18" s="91" t="b">
        <v>0</v>
      </c>
      <c r="G18" s="91" t="b">
        <v>0</v>
      </c>
    </row>
    <row r="19" spans="1:7" ht="15">
      <c r="A19" s="91" t="s">
        <v>380</v>
      </c>
      <c r="B19" s="91">
        <v>2</v>
      </c>
      <c r="C19" s="130">
        <v>0.014001395147161916</v>
      </c>
      <c r="D19" s="91" t="s">
        <v>438</v>
      </c>
      <c r="E19" s="91" t="b">
        <v>0</v>
      </c>
      <c r="F19" s="91" t="b">
        <v>0</v>
      </c>
      <c r="G19" s="91" t="b">
        <v>0</v>
      </c>
    </row>
    <row r="20" spans="1:7" ht="15">
      <c r="A20" s="91" t="s">
        <v>374</v>
      </c>
      <c r="B20" s="91">
        <v>3</v>
      </c>
      <c r="C20" s="130">
        <v>0</v>
      </c>
      <c r="D20" s="91" t="s">
        <v>342</v>
      </c>
      <c r="E20" s="91" t="b">
        <v>0</v>
      </c>
      <c r="F20" s="91" t="b">
        <v>0</v>
      </c>
      <c r="G20" s="91" t="b">
        <v>0</v>
      </c>
    </row>
    <row r="21" spans="1:7" ht="15">
      <c r="A21" s="91" t="s">
        <v>380</v>
      </c>
      <c r="B21" s="91">
        <v>2</v>
      </c>
      <c r="C21" s="130">
        <v>0</v>
      </c>
      <c r="D21" s="91" t="s">
        <v>342</v>
      </c>
      <c r="E21" s="91" t="b">
        <v>0</v>
      </c>
      <c r="F21" s="91" t="b">
        <v>0</v>
      </c>
      <c r="G2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2019-11-08T17:19:43Z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