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<sst xmlns="http://schemas.openxmlformats.org/spreadsheetml/2006/main" count="1728" uniqueCount="630">
  <si>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</si>
  <si>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</si>
  <si>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</si>
  <si>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</si>
  <si>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</si>
  <si>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</si>
  <si>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</si>
  <si>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</si>
  <si>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</si>
  <si>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</si>
  <si>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</si>
  <si>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</si>
  <si>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</si>
  <si>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</si>
  <si>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</si>
  <si>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</si>
  <si>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</si>
  <si>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</si>
  <si>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</si>
  <si>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</si>
  <si>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</si>
  <si>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</si>
  <si>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</si>
  <si>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</si>
  <si>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</si>
  <si>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</si>
  <si>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</si>
  <si>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</si>
  <si>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</si>
  <si>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</si>
  <si>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</si>
  <si>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</si>
  <si>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</si>
  <si>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</si>
  <si>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</si>
  <si>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</si>
  <si>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</si>
  <si>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</si>
  <si>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</si>
  <si>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</si>
  <si>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</si>
  <si>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</si>
  <si>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</si>
  <si>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</si>
  <si>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</si>
  <si>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</si>
  <si>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</si>
  <si>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</si>
  <si>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</si>
  <si>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</si>
  <si>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</si>
  <si>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</si>
  <si>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</si>
  <si>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</si>
  <si>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</si>
  <si>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</si>
  <si>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</si>
  <si>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</si>
  <si>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</si>
  <si>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</si>
  <si>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</si>
  <si>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</si>
  <si>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</si>
  <si>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</si>
  <si>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</si>
  <si>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</si>
  <si>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</si>
  <si>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</si>
  <si>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</si>
  <si>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</si>
  <si>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</si>
  <si>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</si>
  <si>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</si>
  <si>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</si>
  <si>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</si>
  <si>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</si>
  <si>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</si>
  <si>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</si>
  <si>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</si>
  <si>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</si>
  <si>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</si>
  <si>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</si>
  <si>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</si>
  <si>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</si>
  <si>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</si>
  <si>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</si>
  <si>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</si>
  <si>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</si>
  <si>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</si>
  <si>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</si>
  <si>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</si>
  <si>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</si>
  <si>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</si>
  <si>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</si>
  <si>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</si>
  <si>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</si>
  <si>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</si>
  <si>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</si>
  <si>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</si>
  <si>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</si>
  <si>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</si>
  <si>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</si>
  <si>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</si>
  <si>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</si>
  <si>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</si>
  <si>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</si>
  <si>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</si>
  <si>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</si>
  <si>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</si>
  <si>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</si>
  <si>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</si>
  <si>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</si>
  <si>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</si>
  <si>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</si>
  <si>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</si>
  <si>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</si>
  <si>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</si>
  <si>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</si>
  <si>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</si>
  <si>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</si>
  <si>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</si>
  <si>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</si>
  <si>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</si>
  <si>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</si>
  <si>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</si>
  <si>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</si>
  <si>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</si>
  <si>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</si>
  <si>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</si>
  <si>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</si>
  <si>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</si>
  <si>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</si>
  <si>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</si>
  <si>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</si>
  <si>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</si>
  <si>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</si>
  <si>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</si>
  <si>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</si>
  <si>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</si>
  <si>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</si>
  <si>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</si>
  <si>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</si>
  <si>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</si>
  <si>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</si>
  <si>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</si>
  <si>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</si>
  <si>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</si>
  <si>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</si>
  <si>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</si>
  <si>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</si>
  <si>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</si>
  <si>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</si>
  <si>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</si>
  <si>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</si>
  <si>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</si>
  <si>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</si>
  <si>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</si>
  <si>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</si>
  <si>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</si>
  <si>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</si>
  <si>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</si>
  <si>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</si>
  <si>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</si>
  <si>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</si>
  <si>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</si>
  <si>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</si>
  <si>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</si>
  <si>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</si>
  <si>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</si>
  <si>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</si>
  <si>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</si>
  <si>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</si>
  <si>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</si>
  <si>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</si>
  <si>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</si>
  <si>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</si>
  <si>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</si>
  <si>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</si>
  <si>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</si>
  <si>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</si>
  <si>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</si>
  <si>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</si>
  <si>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</si>
  <si>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</si>
  <si>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</si>
  <si>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</si>
  <si>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</si>
  <si>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</si>
  <si>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</si>
  <si>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</si>
  <si>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</si>
  <si>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</si>
  <si>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</si>
  <si>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</si>
  <si>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</si>
  <si>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</si>
  <si>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</si>
  <si>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</si>
  <si>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</si>
  <si>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</si>
  <si>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</si>
  <si>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</si>
  <si>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</si>
  <si>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</si>
  <si>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</si>
  <si>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</si>
  <si>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</si>
  <si>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</si>
  <si>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</si>
  <si>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</si>
  <si>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</si>
  <si>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</si>
  <si>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jennykorn</t>
  </si>
  <si>
    <t>pink1963dsw</t>
  </si>
  <si>
    <t>smandpbot</t>
  </si>
  <si>
    <t>snurb_dot_info</t>
  </si>
  <si>
    <t>sabwilkinson</t>
  </si>
  <si>
    <t>saviaga</t>
  </si>
  <si>
    <t>phdaisy</t>
  </si>
  <si>
    <t>vickinashoii</t>
  </si>
  <si>
    <t>qut</t>
  </si>
  <si>
    <t>bondykaye</t>
  </si>
  <si>
    <t>qutdmrc</t>
  </si>
  <si>
    <t>Mentions</t>
  </si>
  <si>
    <t>Replies to</t>
  </si>
  <si>
    <t>How many of y'all have *used* this? #RotaryPhone #GenerationalDifference #ThatGreenColorTho #oiisdp http://t.co/tkWt8jlRVx</t>
  </si>
  <si>
    <t>RT @JennyKorn: How many of y'all have *used* this? #RotaryPhone #GenerationalDifference #ThatGreenColorTho #oiisdp http://t.co/tkWt8jlRVx</t>
  </si>
  <si>
    <t>RT @phdaisy: Hey @VickiNashOII, look at all these #oiisdp alums representing at #aoir2019 . Thank you for bringing us all together! https:/â€¦</t>
  </si>
  <si>
    <t>Stellar delivery, and fascinating project! Well done Bondy. #oiisdp https://t.co/93QJeVYfpO</t>
  </si>
  <si>
    <t>RT @sabwilkinson: Stellar delivery, and fascinating project! Well done Bondy. #oiisdp https://t.co/93QJeVYfpO</t>
  </si>
  <si>
    <t>@qutdmrc @BondyKaye @QUT Congratulations Bondy!!!  #oiisdp https://t.co/rDFqRrZkPe</t>
  </si>
  <si>
    <t>Hey @VickiNashOII, look at all these #oiisdp alums representing at #aoir2019 . Thank you for bringing us all together! https://t.co/RWJW8DsG7F</t>
  </si>
  <si>
    <t>@phdaisy what a great pic! Really wishing I was at #aoir2019 to catch up with you all but am raising a glass at home instead. #oiisdp forever! https://t.co/Nom4WL3Nnd</t>
  </si>
  <si>
    <t>https://twitter.com/qutdmrc/status/1178575442527174657</t>
  </si>
  <si>
    <t>https://twitter.com/phdaisy/status/1179704712498745344</t>
  </si>
  <si>
    <t>twitter.com</t>
  </si>
  <si>
    <t>rotaryphone generationaldifference thatgreencolortho oiisdp</t>
  </si>
  <si>
    <t>oiisdp aoir2019</t>
  </si>
  <si>
    <t>oiisdp</t>
  </si>
  <si>
    <t>aoir2019 oiisdp</t>
  </si>
  <si>
    <t>https://pbs.twimg.com/media/CJ4XpMxWIAAKU2s.jpg</t>
  </si>
  <si>
    <t>https://pbs.twimg.com/tweet_video_thumb/EF9Ptj1XkAEIiZ6.jpg</t>
  </si>
  <si>
    <t>https://pbs.twimg.com/media/EF8nJ6SXoAAWsF4.jpg</t>
  </si>
  <si>
    <t>http://pbs.twimg.com/profile_images/1014662498090475522/Go2MRzN-_normal.jpg</t>
  </si>
  <si>
    <t>http://pbs.twimg.com/profile_images/459500839799750656/H7xES5vj_normal.png</t>
  </si>
  <si>
    <t>http://pbs.twimg.com/profile_images/1063480420514365440/_8nRHyVW_normal.jpg</t>
  </si>
  <si>
    <t>http://pbs.twimg.com/profile_images/1079374662763724801/tvIDz9T-_normal.jpg</t>
  </si>
  <si>
    <t>http://pbs.twimg.com/profile_images/2534760018/dx10cw081qu8u3i5f0pb_normal.jpeg</t>
  </si>
  <si>
    <t>https://twitter.com/#!/jennykorn/status/620959795957362688</t>
  </si>
  <si>
    <t>https://twitter.com/#!/pink1963dsw/status/1179217232670478336</t>
  </si>
  <si>
    <t>https://twitter.com/#!/smandpbot/status/1179727338772275201</t>
  </si>
  <si>
    <t>https://twitter.com/#!/snurb_dot_info/status/1179733956805054468</t>
  </si>
  <si>
    <t>https://twitter.com/#!/sabwilkinson/status/1179426889636761603</t>
  </si>
  <si>
    <t>https://twitter.com/#!/saviaga/status/1179749079112458245</t>
  </si>
  <si>
    <t>https://twitter.com/#!/saviaga/status/1179749277532397568</t>
  </si>
  <si>
    <t>https://twitter.com/#!/phdaisy/status/1179704712498745344</t>
  </si>
  <si>
    <t>https://twitter.com/#!/vickinashoii/status/1179870391097069580</t>
  </si>
  <si>
    <t>620959795957362688</t>
  </si>
  <si>
    <t>1179217232670478336</t>
  </si>
  <si>
    <t>1179727338772275201</t>
  </si>
  <si>
    <t>1179733956805054468</t>
  </si>
  <si>
    <t>1179426889636761603</t>
  </si>
  <si>
    <t>1179749079112458245</t>
  </si>
  <si>
    <t>1179749277532397568</t>
  </si>
  <si>
    <t>1179704712498745344</t>
  </si>
  <si>
    <t>1179870391097069580</t>
  </si>
  <si>
    <t>1178575442527174657</t>
  </si>
  <si>
    <t/>
  </si>
  <si>
    <t>3154287162</t>
  </si>
  <si>
    <t>11827932</t>
  </si>
  <si>
    <t>en</t>
  </si>
  <si>
    <t>Twitter Web Client</t>
  </si>
  <si>
    <t>Twitter for iPhone</t>
  </si>
  <si>
    <t>SMandPPodcast Bot</t>
  </si>
  <si>
    <t>Twitter Web App</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</si>
  <si>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</si>
  <si>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</si>
  <si>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</si>
  <si>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</si>
  <si>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</si>
  <si>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</si>
  <si>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</si>
  <si>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</si>
  <si>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</si>
  <si>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</si>
  <si>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</si>
  <si>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</si>
  <si>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</si>
  <si>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</si>
  <si>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</si>
  <si>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</si>
  <si>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</si>
  <si>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</si>
  <si>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</si>
  <si>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</si>
  <si>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</si>
  <si>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</si>
  <si>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Jenny Korn ~ Groovy!</t>
  </si>
  <si>
    <t>_xD83C__xDF38_☮_xD83C__xDDFA__xD83C__xDDF8_PINK_xD83C__xDF38_1963_xD83C__xDF38_DSW_xD83C__xDF38_</t>
  </si>
  <si>
    <t>Social Media Politics Bot</t>
  </si>
  <si>
    <t>Vicki Nash</t>
  </si>
  <si>
    <t>Daisy, Ph.D.</t>
  </si>
  <si>
    <t>Axel Bruns</t>
  </si>
  <si>
    <t>Sabrina Wilkinson</t>
  </si>
  <si>
    <t>Claudia Flores-Saviaga</t>
  </si>
  <si>
    <t>QUT</t>
  </si>
  <si>
    <t>Bonduardo Goldstein</t>
  </si>
  <si>
    <t>QUT Digital Media Research Centre</t>
  </si>
  <si>
    <t>Activist scholar on race &amp; gender | @BKCHarvard Founding Coordinator of the Race Tech &amp; Media Working Group | @Princeton Diversity Discussions Founding Director</t>
  </si>
  <si>
    <t>I ALWAYS LIKE TALL GIRLS THEY HAVE TO BE BARE FOOT MEASUREMENT HEIGHT OF 6'-5"or 1.9558 #metres TALL I'M 5'-10"or 1.780 #metres TALL MY FAVORITE COLOR IS PINK</t>
  </si>
  <si>
    <t>Official Bot of the @SMandPPodcast. Retweeting news and opinions about social media and politics. Check out the podcast at the link below! _xD83D__xDC47_</t>
  </si>
  <si>
    <t>Deputy Director @ Oxford Internet Institute. Political theorist and policy geek, big on human rights, digital freedoms, DVD box sets, tea and cake.</t>
  </si>
  <si>
    <t>Professor, Professional Communication &amp; Emerging Media. Anglophile, fangirl, acafan, traveler &amp; internet researcher. _xD83D__xDC96_s @petshopboys &amp; @georgemichael!</t>
  </si>
  <si>
    <t>social media and journalism researcher at http://bit.ly/qutdmrc - views are my own</t>
  </si>
  <si>
    <t>writer and researcher into digital policy | ambivalent about Twitter
Reach me: sabrinawilkinson@live.com</t>
  </si>
  <si>
    <t>I research disinformation and ways to counter it using crowdsourcing and #AI. PhD student CS WVU | @Facebook Fellow | Past: @CarnegieMellon @oiioxford</t>
  </si>
  <si>
    <t>A university for the real world • Research with impact • Global outlook • World-class facilities • #QUT to join the conversation • CRICOS 00213J</t>
  </si>
  <si>
    <t>PhD Candidate @qutdmrc | editorial assistant @mediaindjournal | drummer @itsparallelpath | researching copyright &amp; music policy in Asia
Where's Bondy?</t>
  </si>
  <si>
    <t>World-leading research for a creative, inclusive and fair digital media environment. CRICOS No. 00213J</t>
  </si>
  <si>
    <t>https://www.igi-global.com/gateway/article/136849</t>
  </si>
  <si>
    <t>BRYANT AR/Ark</t>
  </si>
  <si>
    <t>Cyberspace</t>
  </si>
  <si>
    <t>Oxford, UK</t>
  </si>
  <si>
    <t>Wisconsin, USA</t>
  </si>
  <si>
    <t>Brisbane (mostly)</t>
  </si>
  <si>
    <t>the ether</t>
  </si>
  <si>
    <t>United States/Mexico</t>
  </si>
  <si>
    <t>Brisbane, Australia</t>
  </si>
  <si>
    <t>https://t.co/sNNgY6Ta1n</t>
  </si>
  <si>
    <t>https://t.co/AYp6flIbc6</t>
  </si>
  <si>
    <t>http://www.oii.ox.ac.uk/people/?id=4</t>
  </si>
  <si>
    <t>https://t.co/DFFl3qGKRo</t>
  </si>
  <si>
    <t>http://snurb.info/</t>
  </si>
  <si>
    <t>https://t.co/i7dka1vK1b</t>
  </si>
  <si>
    <t>https://t.co/Y0GIkmE8MV</t>
  </si>
  <si>
    <t>http://t.co/m5BpZJzzFL</t>
  </si>
  <si>
    <t>https://t.co/XmBGuEQyDX</t>
  </si>
  <si>
    <t>https://pbs.twimg.com/profile_banners/23720825/1426691861</t>
  </si>
  <si>
    <t>https://pbs.twimg.com/profile_banners/1014655862177181696/1531679328</t>
  </si>
  <si>
    <t>https://pbs.twimg.com/profile_banners/57140128/1394641537</t>
  </si>
  <si>
    <t>https://pbs.twimg.com/profile_banners/11827932/1478027172</t>
  </si>
  <si>
    <t>https://pbs.twimg.com/profile_banners/78807415/1398387399</t>
  </si>
  <si>
    <t>https://pbs.twimg.com/profile_banners/121881387/1428812985</t>
  </si>
  <si>
    <t>https://pbs.twimg.com/profile_banners/133562519/1568245988</t>
  </si>
  <si>
    <t>https://pbs.twimg.com/profile_banners/575509205/1563183250</t>
  </si>
  <si>
    <t>https://pbs.twimg.com/profile_banners/3154287162/1429230756</t>
  </si>
  <si>
    <t>http://abs.twimg.com/images/themes/theme3/bg.gif</t>
  </si>
  <si>
    <t>http://abs.twimg.com/images/themes/theme11/bg.gif</t>
  </si>
  <si>
    <t>http://abs.twimg.com/images/themes/theme1/bg.png</t>
  </si>
  <si>
    <t>http://abs.twimg.com/images/themes/theme10/bg.gif</t>
  </si>
  <si>
    <t>http://abs.twimg.com/images/themes/theme5/bg.gif</t>
  </si>
  <si>
    <t>http://pbs.twimg.com/profile_images/124998778/Upload_normal.jpg</t>
  </si>
  <si>
    <t>http://pbs.twimg.com/profile_images/777652797298741248/mburwr4c_normal.jpg</t>
  </si>
  <si>
    <t>http://pbs.twimg.com/profile_images/1036631570885554176/OgO8N359_normal.jpg</t>
  </si>
  <si>
    <t>http://pbs.twimg.com/profile_images/909649751565492224/Qx1rJ3Bl_normal.jpg</t>
  </si>
  <si>
    <t>http://pbs.twimg.com/profile_images/1150696432992686082/lBN9yH90_normal.jpg</t>
  </si>
  <si>
    <t>http://pbs.twimg.com/profile_images/885730823973945344/O9fnLDUD_normal.jpg</t>
  </si>
  <si>
    <t>Open Twitter Page for This Person</t>
  </si>
  <si>
    <t>https://twitter.com/jennykorn</t>
  </si>
  <si>
    <t>https://twitter.com/pink1963dsw</t>
  </si>
  <si>
    <t>https://twitter.com/smandpbot</t>
  </si>
  <si>
    <t>https://twitter.com/vickinashoii</t>
  </si>
  <si>
    <t>https://twitter.com/phdaisy</t>
  </si>
  <si>
    <t>https://twitter.com/snurb_dot_info</t>
  </si>
  <si>
    <t>https://twitter.com/sabwilkinson</t>
  </si>
  <si>
    <t>https://twitter.com/saviaga</t>
  </si>
  <si>
    <t>https://twitter.com/qut</t>
  </si>
  <si>
    <t>https://twitter.com/bondykaye</t>
  </si>
  <si>
    <t>https://twitter.com/qutdmrc</t>
  </si>
  <si>
    <t>jennykorn
How many of y'all have *used* this?
#RotaryPhone #GenerationalDifference
#ThatGreenColorTho #oiisdp http://t.co/tkWt8jlRVx</t>
  </si>
  <si>
    <t>pink1963dsw
RT @JennyKorn: How many of y'all
have *used* this? #RotaryPhone
#GenerationalDifference #ThatGreenColorTho
#oiisdp http://t.co/tkWt8jlRVx</t>
  </si>
  <si>
    <t>smandpbot
RT @phdaisy: Hey @VickiNashOII,
look at all these #oiisdp alums
representing at #aoir2019 . Thank
you for bringing us all together!
https:/â€¦</t>
  </si>
  <si>
    <t>vickinashoii
@phdaisy what a great pic! Really
wishing I was at #aoir2019 to catch
up with you all but am raising
a glass at home instead. #oiisdp
forever! https://t.co/Nom4WL3Nnd</t>
  </si>
  <si>
    <t>phdaisy
Hey @VickiNashOII, look at all
these #oiisdp alums representing
at #aoir2019 . Thank you for bringing
us all together! https://t.co/RWJW8DsG7F</t>
  </si>
  <si>
    <t>snurb_dot_info
RT @phdaisy: Hey @VickiNashOII,
look at all these #oiisdp alums
representing at #aoir2019 . Thank
you for bringing us all together!
https:/â€¦</t>
  </si>
  <si>
    <t>sabwilkinson
Stellar delivery, and fascinating
project! Well done Bondy. #oiisdp
https://t.co/93QJeVYfpO</t>
  </si>
  <si>
    <t>saviaga
@qutdmrc @BondyKaye @QUT Congratulations
Bondy!!! #oiisdp https://t.co/rDFqRrZkPe</t>
  </si>
  <si>
    <t xml:space="preserve">qut
</t>
  </si>
  <si>
    <t xml:space="preserve">bondykaye
</t>
  </si>
  <si>
    <t xml:space="preserve">qutdmrc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</si>
  <si>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</si>
  <si>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</si>
  <si>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</si>
  <si>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</si>
  <si>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</si>
  <si>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</si>
  <si>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</si>
  <si>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</si>
  <si>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</si>
  <si>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</si>
  <si>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</si>
  <si>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</si>
  <si>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</si>
  <si>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</si>
  <si>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</si>
  <si>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</si>
  <si>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</si>
  <si>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</si>
  <si>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</si>
  <si>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</si>
  <si>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</si>
  <si>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</si>
  <si>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</si>
  <si>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</si>
  <si>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</si>
  <si>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</si>
  <si>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</si>
  <si>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</si>
  <si>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</si>
  <si>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</si>
  <si>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</si>
  <si>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</si>
  <si>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</si>
  <si>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</si>
  <si>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</si>
  <si>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</si>
  <si>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</si>
  <si>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</si>
  <si>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</si>
  <si>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</si>
  <si>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</si>
  <si>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</si>
  <si>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</si>
  <si>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</si>
  <si>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</si>
  <si>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</si>
  <si>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</si>
  <si>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</si>
  <si>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</si>
  <si>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</si>
  <si>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</si>
  <si>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</si>
  <si>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</si>
  <si>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</si>
  <si>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</si>
  <si>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</si>
  <si>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</si>
  <si>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</si>
  <si>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</si>
  <si>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</si>
  <si>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</si>
  <si>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</si>
  <si>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</si>
  <si>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aoir2019</t>
  </si>
  <si>
    <t>rotaryphone</t>
  </si>
  <si>
    <t>generationaldifference</t>
  </si>
  <si>
    <t>thatgreencolortho</t>
  </si>
  <si>
    <t>Top Hashtags in Tweet in G1</t>
  </si>
  <si>
    <t>Top Hashtags in Tweet in G2</t>
  </si>
  <si>
    <t>Top Hashtags in Tweet in G3</t>
  </si>
  <si>
    <t>Top Hashtags in Tweet</t>
  </si>
  <si>
    <t>Top Words in Tweet in Entire Graph</t>
  </si>
  <si>
    <t>Words in Sentiment List#1: Positive</t>
  </si>
  <si>
    <t>Words in Sentiment List#2: Negative</t>
  </si>
  <si>
    <t>Words in Sentiment List#3: Angry/Violent</t>
  </si>
  <si>
    <t>Non-categorized Words</t>
  </si>
  <si>
    <t>Total Words</t>
  </si>
  <si>
    <t>#oiisdp</t>
  </si>
  <si>
    <t>#aoir2019</t>
  </si>
  <si>
    <t>bondy</t>
  </si>
  <si>
    <t>hey</t>
  </si>
  <si>
    <t>Top Words in Tweet in G1</t>
  </si>
  <si>
    <t>stellar</t>
  </si>
  <si>
    <t>delivery</t>
  </si>
  <si>
    <t>fascinating</t>
  </si>
  <si>
    <t>project</t>
  </si>
  <si>
    <t>well</t>
  </si>
  <si>
    <t>done</t>
  </si>
  <si>
    <t>Top Words in Tweet in G2</t>
  </si>
  <si>
    <t>look</t>
  </si>
  <si>
    <t>alums</t>
  </si>
  <si>
    <t>representing</t>
  </si>
  <si>
    <t>thank</t>
  </si>
  <si>
    <t>bringing</t>
  </si>
  <si>
    <t>Top Words in Tweet in G3</t>
  </si>
  <si>
    <t>many</t>
  </si>
  <si>
    <t>y'all</t>
  </si>
  <si>
    <t>used</t>
  </si>
  <si>
    <t>#rotaryphone</t>
  </si>
  <si>
    <t>#generationaldifference</t>
  </si>
  <si>
    <t>#thatgreencolortho</t>
  </si>
  <si>
    <t>Top Words in Tweet</t>
  </si>
  <si>
    <t>bondy #oiisdp stellar delivery fascinating project well done</t>
  </si>
  <si>
    <t>#oiisdp #aoir2019 phdaisy hey vickinashoii look alums representing thank bringing</t>
  </si>
  <si>
    <t>many y'all used #rotaryphone #generationaldifference #thatgreencolortho #oiisdp</t>
  </si>
  <si>
    <t>Top Word Pairs in Tweet in Entire Graph</t>
  </si>
  <si>
    <t>bondy,#oiisdp</t>
  </si>
  <si>
    <t>hey,vickinashoii</t>
  </si>
  <si>
    <t>vickinashoii,look</t>
  </si>
  <si>
    <t>look,#oiisdp</t>
  </si>
  <si>
    <t>#oiisdp,alums</t>
  </si>
  <si>
    <t>alums,representing</t>
  </si>
  <si>
    <t>representing,#aoir2019</t>
  </si>
  <si>
    <t>#aoir2019,thank</t>
  </si>
  <si>
    <t>thank,bringing</t>
  </si>
  <si>
    <t>bringing,together</t>
  </si>
  <si>
    <t>Top Word Pairs in Tweet in G1</t>
  </si>
  <si>
    <t>stellar,delivery</t>
  </si>
  <si>
    <t>delivery,fascinating</t>
  </si>
  <si>
    <t>fascinating,project</t>
  </si>
  <si>
    <t>project,well</t>
  </si>
  <si>
    <t>well,done</t>
  </si>
  <si>
    <t>done,bondy</t>
  </si>
  <si>
    <t>Top Word Pairs in Tweet in G2</t>
  </si>
  <si>
    <t>phdaisy,hey</t>
  </si>
  <si>
    <t>Top Word Pairs in Tweet in G3</t>
  </si>
  <si>
    <t>many,y'all</t>
  </si>
  <si>
    <t>y'all,used</t>
  </si>
  <si>
    <t>used,#rotaryphone</t>
  </si>
  <si>
    <t>#rotaryphone,#generationaldifference</t>
  </si>
  <si>
    <t>#generationaldifference,#thatgreencolortho</t>
  </si>
  <si>
    <t>#thatgreencolortho,#oiisdp</t>
  </si>
  <si>
    <t>Top Word Pairs in Tweet</t>
  </si>
  <si>
    <t>bondy,#oiisdp  stellar,delivery  delivery,fascinating  fascinating,project  project,well  well,done  done,bondy</t>
  </si>
  <si>
    <t>hey,vickinashoii  vickinashoii,look  look,#oiisdp  #oiisdp,alums  alums,representing  representing,#aoir2019  #aoir2019,thank  thank,bringing  bringing,together  phdaisy,hey</t>
  </si>
  <si>
    <t>many,y'all  y'all,used  used,#rotaryphone  #rotaryphone,#generationaldifference  #generationaldifference,#thatgreencolortho  #thatgreencolortho,#oiisdp</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</si>
  <si>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</si>
  <si>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</si>
  <si>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</si>
  <si>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</si>
  <si>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</si>
  <si>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</si>
  <si>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</si>
  <si>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</si>
  <si>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</si>
  <si>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</si>
  <si>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bondykaye qut sabwilkinson</t>
  </si>
  <si>
    <t>vickinashoii phdaisy</t>
  </si>
  <si>
    <t>Top Tweeters in Entire Graph</t>
  </si>
  <si>
    <t>Top Tweeters in G1</t>
  </si>
  <si>
    <t>Top Tweeters in G2</t>
  </si>
  <si>
    <t>Top Tweeters in G3</t>
  </si>
  <si>
    <t>Top Tweeters</t>
  </si>
  <si>
    <t>qut qutdmrc saviaga sabwilkinson bondykaye</t>
  </si>
  <si>
    <t>snurb_dot_info phdaisy smandpbot vickinashoii</t>
  </si>
  <si>
    <t>pink1963dsw jennykorn</t>
  </si>
  <si>
    <t>Top URLs in Tweet by Count</t>
  </si>
  <si>
    <t>Top URLs in Tweet by Salience</t>
  </si>
  <si>
    <t>Top Domains in Tweet by Count</t>
  </si>
  <si>
    <t>Top Domains in Tweet by Salience</t>
  </si>
  <si>
    <t>Top Hashtags in Tweet by Count</t>
  </si>
  <si>
    <t>Top Hashtags in Tweet by Salience</t>
  </si>
  <si>
    <t>Top Words in Tweet by Count</t>
  </si>
  <si>
    <t>jennykorn many y'all used #rotaryphone #generationaldifference #thatgreencolortho #oiisdp</t>
  </si>
  <si>
    <t>phdaisy hey vickinashoii look #oiisdp alums representing #aoir2019 thank bringing</t>
  </si>
  <si>
    <t>phdaisy great pic really wishing #aoir2019 catch up raising glass</t>
  </si>
  <si>
    <t>hey vickinashoii look #oiisdp alums representing #aoir2019 thank bringing together</t>
  </si>
  <si>
    <t>stellar delivery fascinating project well done bondy #oiisdp</t>
  </si>
  <si>
    <t>bondy #oiisdp qutdmrc bondykaye qut congratulations sabwilkinson stellar delivery fascinating</t>
  </si>
  <si>
    <t>Top Words in Tweet by Salience</t>
  </si>
  <si>
    <t>qutdmrc bondykaye qut congratulations sabwilkinson stellar delivery fascinating project well</t>
  </si>
  <si>
    <t>Top Word Pairs in Tweet by Count</t>
  </si>
  <si>
    <t>jennykorn,many  many,y'all  y'all,used  used,#rotaryphone  #rotaryphone,#generationaldifference  #generationaldifference,#thatgreencolortho  #thatgreencolortho,#oiisdp</t>
  </si>
  <si>
    <t>phdaisy,hey  hey,vickinashoii  vickinashoii,look  look,#oiisdp  #oiisdp,alums  alums,representing  representing,#aoir2019  #aoir2019,thank  thank,bringing  bringing,together</t>
  </si>
  <si>
    <t>phdaisy,great  great,pic  pic,really  really,wishing  wishing,#aoir2019  #aoir2019,catch  catch,up  up,raising  raising,glass  glass,home</t>
  </si>
  <si>
    <t>hey,vickinashoii  vickinashoii,look  look,#oiisdp  #oiisdp,alums  alums,representing  representing,#aoir2019  #aoir2019,thank  thank,bringing  bringing,together</t>
  </si>
  <si>
    <t>stellar,delivery  delivery,fascinating  fascinating,project  project,well  well,done  done,bondy  bondy,#oiisdp</t>
  </si>
  <si>
    <t>bondy,#oiisdp  qutdmrc,bondykaye  bondykaye,qut  qut,congratulations  congratulations,bondy  sabwilkinson,stellar  stellar,delivery  delivery,fascinating  fascinating,project  project,well</t>
  </si>
  <si>
    <t>Top Word Pairs in Tweet by Salience</t>
  </si>
  <si>
    <t>qutdmrc,bondykaye  bondykaye,qut  qut,congratulations  congratulations,bondy  sabwilkinson,stellar  stellar,delivery  delivery,fascinating  fascinating,project  project,well  well,done</t>
  </si>
  <si>
    <t>Word</t>
  </si>
  <si>
    <t>together</t>
  </si>
  <si>
    <t>https</t>
  </si>
  <si>
    <t>â</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</si>
  <si>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</si>
  <si>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</si>
  <si>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</si>
  <si>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</si>
  <si>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</si>
  <si>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</si>
  <si>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</si>
  <si>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</si>
  <si>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</si>
  <si>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</si>
  <si>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</si>
  <si>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</si>
  <si>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</si>
  <si>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</si>
  <si>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</si>
  <si>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</si>
  <si>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</si>
  <si>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</si>
  <si>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</si>
  <si>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</si>
  <si>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</si>
  <si>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</si>
  <si>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</si>
  <si>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</si>
  <si>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</si>
  <si>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</si>
  <si>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</si>
  <si>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</si>
  <si>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</si>
  <si>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</si>
  <si>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</si>
  <si>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</si>
  <si>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</si>
  <si>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</si>
  <si>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</si>
  <si>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</si>
  <si>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</si>
  <si>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</si>
  <si>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</si>
  <si>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</si>
  <si>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</si>
  <si>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</si>
  <si>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</si>
  <si>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</si>
  <si>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</si>
  <si>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</si>
  <si>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</si>
  <si>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</si>
  <si>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</si>
  <si>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</si>
  <si>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</si>
  <si>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</si>
  <si>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</si>
  <si>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</si>
  <si>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</si>
  <si>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</si>
  <si>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</si>
  <si>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</si>
  <si>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</si>
  <si>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</si>
  <si>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bondy #oiisdp stellar delivery fascinating project well done</t>
  </si>
  <si>
    <t>G2: #oiisdp #aoir2019 phdaisy hey vickinashoii look alums representing thank bringing</t>
  </si>
  <si>
    <t>G3: many y'all used #rotaryphone #generationaldifference #thatgreencolortho #oiisdp</t>
  </si>
  <si>
    <t>Autofill Workbook Results</t>
  </si>
  <si>
    <t>Edge Weight▓1▓1▓0▓True▓Gray▓Red▓▓Edge Weight▓1▓1▓0▓3▓10▓False▓Edge Weight▓1▓1▓0▓35▓12▓False▓▓0▓0▓0▓True▓Black▓Black▓▓Followers▓102▓7686▓0▓162▓1000▓False▓▓0▓0▓0▓0▓0▓False▓▓0▓0▓0▓0▓0▓False▓▓0▓0▓0▓0▓0▓False</t>
  </si>
  <si>
    <t>GraphSource░GraphServerTwitterSearch▓GraphTerm░oiisdp▓ImportDescription░The graph represents a network of 11 Twitter users whose tweets in the requested range contained "oiisdp", or who were replied to or mentioned in those tweets.  The network was obtained from the NodeXL Graph Server on Wednesday, 09 October 2019 at 16:18 UTC.
The requested start date was Wednesday, 09 October 2019 at 00:01 UTC and the maximum number of days (going backward) was 14.
The maximum number of tweets collected was 5,000.
The tweets in the network were tweeted over the 1-day, 19-hour, 15-minute period from Wednesday, 02 October 2019 at 02:11 UTC to Thursday, 03 October 2019 at 21:26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</si>
</sst>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7"/>
      <tableStyleElement type="headerRow" dxfId="386"/>
    </tableStyle>
    <tableStyle name="NodeXL Table" pivot="0" count="1">
      <tableStyleElement type="headerRow" dxfId="38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2591204"/>
        <c:axId val="26449925"/>
      </c:barChart>
      <c:catAx>
        <c:axId val="625912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449925"/>
        <c:crosses val="autoZero"/>
        <c:auto val="1"/>
        <c:lblOffset val="100"/>
        <c:noMultiLvlLbl val="0"/>
      </c:catAx>
      <c:valAx>
        <c:axId val="264499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91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oiisdp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7/14/2015 14:15</c:v>
                </c:pt>
                <c:pt idx="1">
                  <c:v>10/2/2019 2:11</c:v>
                </c:pt>
                <c:pt idx="2">
                  <c:v>10/2/2019 16:04</c:v>
                </c:pt>
                <c:pt idx="3">
                  <c:v>10/3/2019 10:28</c:v>
                </c:pt>
                <c:pt idx="4">
                  <c:v>10/3/2019 11:58</c:v>
                </c:pt>
                <c:pt idx="5">
                  <c:v>10/3/2019 12:24</c:v>
                </c:pt>
                <c:pt idx="6">
                  <c:v>10/3/2019 13:24</c:v>
                </c:pt>
                <c:pt idx="7">
                  <c:v>10/3/2019 13:25</c:v>
                </c:pt>
                <c:pt idx="8">
                  <c:v>10/3/2019 21:26</c:v>
                </c:pt>
              </c:strCache>
            </c:strRef>
          </c:cat>
          <c:val>
            <c:numRef>
              <c:f>'Time Series'!$B$26:$B$35</c:f>
              <c:numCache>
                <c:formatCode>General</c:formatCode>
                <c:ptCount val="9"/>
                <c:pt idx="0">
                  <c:v>1</c:v>
                </c:pt>
                <c:pt idx="1">
                  <c:v>1</c:v>
                </c:pt>
                <c:pt idx="2">
                  <c:v>1</c:v>
                </c:pt>
                <c:pt idx="3">
                  <c:v>1</c:v>
                </c:pt>
                <c:pt idx="4">
                  <c:v>2</c:v>
                </c:pt>
                <c:pt idx="5">
                  <c:v>2</c:v>
                </c:pt>
                <c:pt idx="6">
                  <c:v>1</c:v>
                </c:pt>
                <c:pt idx="7">
                  <c:v>3</c:v>
                </c:pt>
                <c:pt idx="8">
                  <c:v>1</c:v>
                </c:pt>
              </c:numCache>
            </c:numRef>
          </c:val>
        </c:ser>
        <c:axId val="23026430"/>
        <c:axId val="5911279"/>
      </c:barChart>
      <c:catAx>
        <c:axId val="23026430"/>
        <c:scaling>
          <c:orientation val="minMax"/>
        </c:scaling>
        <c:axPos val="b"/>
        <c:delete val="0"/>
        <c:numFmt formatCode="General" sourceLinked="1"/>
        <c:majorTickMark val="out"/>
        <c:minorTickMark val="none"/>
        <c:tickLblPos val="nextTo"/>
        <c:crossAx val="5911279"/>
        <c:crosses val="autoZero"/>
        <c:auto val="1"/>
        <c:lblOffset val="100"/>
        <c:noMultiLvlLbl val="0"/>
      </c:catAx>
      <c:valAx>
        <c:axId val="5911279"/>
        <c:scaling>
          <c:orientation val="minMax"/>
        </c:scaling>
        <c:axPos val="l"/>
        <c:majorGridlines/>
        <c:delete val="0"/>
        <c:numFmt formatCode="General" sourceLinked="1"/>
        <c:majorTickMark val="out"/>
        <c:minorTickMark val="none"/>
        <c:tickLblPos val="nextTo"/>
        <c:crossAx val="2302643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6722734"/>
        <c:axId val="62069151"/>
      </c:barChart>
      <c:catAx>
        <c:axId val="367227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069151"/>
        <c:crosses val="autoZero"/>
        <c:auto val="1"/>
        <c:lblOffset val="100"/>
        <c:noMultiLvlLbl val="0"/>
      </c:catAx>
      <c:valAx>
        <c:axId val="620691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227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1751448"/>
        <c:axId val="61545305"/>
      </c:barChart>
      <c:catAx>
        <c:axId val="217514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545305"/>
        <c:crosses val="autoZero"/>
        <c:auto val="1"/>
        <c:lblOffset val="100"/>
        <c:noMultiLvlLbl val="0"/>
      </c:catAx>
      <c:valAx>
        <c:axId val="615453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514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7036834"/>
        <c:axId val="19113779"/>
      </c:barChart>
      <c:catAx>
        <c:axId val="170368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113779"/>
        <c:crosses val="autoZero"/>
        <c:auto val="1"/>
        <c:lblOffset val="100"/>
        <c:noMultiLvlLbl val="0"/>
      </c:catAx>
      <c:valAx>
        <c:axId val="191137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368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7806284"/>
        <c:axId val="4712237"/>
      </c:barChart>
      <c:catAx>
        <c:axId val="378062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12237"/>
        <c:crosses val="autoZero"/>
        <c:auto val="1"/>
        <c:lblOffset val="100"/>
        <c:noMultiLvlLbl val="0"/>
      </c:catAx>
      <c:valAx>
        <c:axId val="4712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06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2410134"/>
        <c:axId val="46146887"/>
      </c:barChart>
      <c:catAx>
        <c:axId val="424101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146887"/>
        <c:crosses val="autoZero"/>
        <c:auto val="1"/>
        <c:lblOffset val="100"/>
        <c:noMultiLvlLbl val="0"/>
      </c:catAx>
      <c:valAx>
        <c:axId val="46146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101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2668800"/>
        <c:axId val="46910337"/>
      </c:barChart>
      <c:catAx>
        <c:axId val="126688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910337"/>
        <c:crosses val="autoZero"/>
        <c:auto val="1"/>
        <c:lblOffset val="100"/>
        <c:noMultiLvlLbl val="0"/>
      </c:catAx>
      <c:valAx>
        <c:axId val="469103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68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9539850"/>
        <c:axId val="41640923"/>
      </c:barChart>
      <c:catAx>
        <c:axId val="195398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640923"/>
        <c:crosses val="autoZero"/>
        <c:auto val="1"/>
        <c:lblOffset val="100"/>
        <c:noMultiLvlLbl val="0"/>
      </c:catAx>
      <c:valAx>
        <c:axId val="416409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398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9223988"/>
        <c:axId val="17471573"/>
      </c:barChart>
      <c:catAx>
        <c:axId val="39223988"/>
        <c:scaling>
          <c:orientation val="minMax"/>
        </c:scaling>
        <c:axPos val="b"/>
        <c:delete val="1"/>
        <c:majorTickMark val="out"/>
        <c:minorTickMark val="none"/>
        <c:tickLblPos val="none"/>
        <c:crossAx val="17471573"/>
        <c:crosses val="autoZero"/>
        <c:auto val="1"/>
        <c:lblOffset val="100"/>
        <c:noMultiLvlLbl val="0"/>
      </c:catAx>
      <c:valAx>
        <c:axId val="17471573"/>
        <c:scaling>
          <c:orientation val="minMax"/>
        </c:scaling>
        <c:axPos val="l"/>
        <c:delete val="1"/>
        <c:majorTickMark val="out"/>
        <c:minorTickMark val="none"/>
        <c:tickLblPos val="none"/>
        <c:crossAx val="392239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Smith" refreshedVersion="5">
  <cacheSource type="worksheet">
    <worksheetSource ref="A2:BL15"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
        <s v="rotaryphone generationaldifference thatgreencolortho oiisdp"/>
        <s v="oiisdp aoir2019"/>
        <s v="oiisdp"/>
        <s v="aoir2019 oiisdp"/>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
        <d v="2015-07-14T14:15:26.000"/>
        <d v="2019-10-02T02:11:11.000"/>
        <d v="2019-10-03T11:58:10.000"/>
        <d v="2019-10-03T12:24:28.000"/>
        <d v="2019-10-02T16:04:17.000"/>
        <d v="2019-10-03T13:24:33.000"/>
        <d v="2019-10-03T13:25:21.000"/>
        <d v="2019-10-03T10:28:15.000"/>
        <d v="2019-10-03T21:26:36.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jennykorn"/>
    <s v="jennykorn"/>
    <m/>
    <m/>
    <m/>
    <m/>
    <m/>
    <m/>
    <m/>
    <m/>
    <s v="No"/>
    <n v="3"/>
    <m/>
    <m/>
    <x v="0"/>
    <d v="2015-07-14T14:15:26.000"/>
    <s v="How many of y'all have *used* this? #RotaryPhone #GenerationalDifference #ThatGreenColorTho #oiisdp http://t.co/tkWt8jlRVx"/>
    <m/>
    <m/>
    <x v="0"/>
    <s v="https://pbs.twimg.com/media/CJ4XpMxWIAAKU2s.jpg"/>
    <s v="https://pbs.twimg.com/media/CJ4XpMxWIAAKU2s.jpg"/>
    <x v="0"/>
    <s v="https://twitter.com/#!/jennykorn/status/620959795957362688"/>
    <m/>
    <m/>
    <s v="620959795957362688"/>
    <m/>
    <b v="0"/>
    <n v="5"/>
    <s v=""/>
    <b v="0"/>
    <s v="en"/>
    <m/>
    <s v=""/>
    <b v="0"/>
    <n v="1"/>
    <s v=""/>
    <s v="Twitter Web Client"/>
    <b v="0"/>
    <s v="620959795957362688"/>
    <s v="Retweet"/>
    <n v="0"/>
    <n v="0"/>
    <m/>
    <m/>
    <m/>
    <m/>
    <m/>
    <m/>
    <m/>
    <m/>
    <n v="1"/>
    <s v="3"/>
    <s v="3"/>
    <n v="0"/>
    <n v="0"/>
    <n v="0"/>
    <n v="0"/>
    <n v="0"/>
    <n v="0"/>
    <n v="11"/>
    <n v="100"/>
    <n v="11"/>
  </r>
  <r>
    <s v="pink1963dsw"/>
    <s v="jennykorn"/>
    <m/>
    <m/>
    <m/>
    <m/>
    <m/>
    <m/>
    <m/>
    <m/>
    <s v="No"/>
    <n v="4"/>
    <m/>
    <m/>
    <x v="1"/>
    <d v="2019-10-02T02:11:11.000"/>
    <s v="RT @JennyKorn: How many of y'all have *used* this? #RotaryPhone #GenerationalDifference #ThatGreenColorTho #oiisdp http://t.co/tkWt8jlRVx"/>
    <m/>
    <m/>
    <x v="0"/>
    <s v="https://pbs.twimg.com/media/CJ4XpMxWIAAKU2s.jpg"/>
    <s v="https://pbs.twimg.com/media/CJ4XpMxWIAAKU2s.jpg"/>
    <x v="1"/>
    <s v="https://twitter.com/#!/pink1963dsw/status/1179217232670478336"/>
    <m/>
    <m/>
    <s v="1179217232670478336"/>
    <m/>
    <b v="0"/>
    <n v="0"/>
    <s v=""/>
    <b v="0"/>
    <s v="en"/>
    <m/>
    <s v=""/>
    <b v="0"/>
    <n v="1"/>
    <s v="620959795957362688"/>
    <s v="Twitter for iPhone"/>
    <b v="0"/>
    <s v="620959795957362688"/>
    <s v="Tweet"/>
    <n v="0"/>
    <n v="0"/>
    <m/>
    <m/>
    <m/>
    <m/>
    <m/>
    <m/>
    <m/>
    <m/>
    <n v="1"/>
    <s v="3"/>
    <s v="3"/>
    <n v="0"/>
    <n v="0"/>
    <n v="0"/>
    <n v="0"/>
    <n v="0"/>
    <n v="0"/>
    <n v="13"/>
    <n v="100"/>
    <n v="13"/>
  </r>
  <r>
    <s v="smandpbot"/>
    <s v="vickinashoii"/>
    <m/>
    <m/>
    <m/>
    <m/>
    <m/>
    <m/>
    <m/>
    <m/>
    <s v="No"/>
    <n v="5"/>
    <m/>
    <m/>
    <x v="1"/>
    <d v="2019-10-03T11:58:10.000"/>
    <s v="RT @phdaisy: Hey @VickiNashOII, look at all these #oiisdp alums representing at #aoir2019 . Thank you for bringing us all together! https:/â€¦"/>
    <m/>
    <m/>
    <x v="1"/>
    <m/>
    <s v="http://pbs.twimg.com/profile_images/1014662498090475522/Go2MRzN-_normal.jpg"/>
    <x v="2"/>
    <s v="https://twitter.com/#!/smandpbot/status/1179727338772275201"/>
    <m/>
    <m/>
    <s v="1179727338772275201"/>
    <m/>
    <b v="0"/>
    <n v="0"/>
    <s v=""/>
    <b v="0"/>
    <s v="en"/>
    <m/>
    <s v=""/>
    <b v="0"/>
    <n v="2"/>
    <s v="1179704712498745344"/>
    <s v="SMandPPodcast Bot"/>
    <b v="0"/>
    <s v="1179704712498745344"/>
    <s v="Tweet"/>
    <n v="0"/>
    <n v="0"/>
    <m/>
    <m/>
    <m/>
    <m/>
    <m/>
    <m/>
    <m/>
    <m/>
    <n v="1"/>
    <s v="2"/>
    <s v="2"/>
    <m/>
    <m/>
    <m/>
    <m/>
    <m/>
    <m/>
    <m/>
    <m/>
    <m/>
  </r>
  <r>
    <s v="smandpbot"/>
    <s v="phdaisy"/>
    <m/>
    <m/>
    <m/>
    <m/>
    <m/>
    <m/>
    <m/>
    <m/>
    <s v="No"/>
    <n v="6"/>
    <m/>
    <m/>
    <x v="1"/>
    <d v="2019-10-03T11:58:10.000"/>
    <s v="RT @phdaisy: Hey @VickiNashOII, look at all these #oiisdp alums representing at #aoir2019 . Thank you for bringing us all together! https:/â€¦"/>
    <m/>
    <m/>
    <x v="1"/>
    <m/>
    <s v="http://pbs.twimg.com/profile_images/1014662498090475522/Go2MRzN-_normal.jpg"/>
    <x v="2"/>
    <s v="https://twitter.com/#!/smandpbot/status/1179727338772275201"/>
    <m/>
    <m/>
    <s v="1179727338772275201"/>
    <m/>
    <b v="0"/>
    <n v="0"/>
    <s v=""/>
    <b v="0"/>
    <s v="en"/>
    <m/>
    <s v=""/>
    <b v="0"/>
    <n v="2"/>
    <s v="1179704712498745344"/>
    <s v="SMandPPodcast Bot"/>
    <b v="0"/>
    <s v="1179704712498745344"/>
    <s v="Tweet"/>
    <n v="0"/>
    <n v="0"/>
    <m/>
    <m/>
    <m/>
    <m/>
    <m/>
    <m/>
    <m/>
    <m/>
    <n v="1"/>
    <s v="2"/>
    <s v="2"/>
    <n v="1"/>
    <n v="4.545454545454546"/>
    <n v="0"/>
    <n v="0"/>
    <n v="0"/>
    <n v="0"/>
    <n v="21"/>
    <n v="95.45454545454545"/>
    <n v="22"/>
  </r>
  <r>
    <s v="snurb_dot_info"/>
    <s v="vickinashoii"/>
    <m/>
    <m/>
    <m/>
    <m/>
    <m/>
    <m/>
    <m/>
    <m/>
    <s v="No"/>
    <n v="7"/>
    <m/>
    <m/>
    <x v="1"/>
    <d v="2019-10-03T12:24:28.000"/>
    <s v="RT @phdaisy: Hey @VickiNashOII, look at all these #oiisdp alums representing at #aoir2019 . Thank you for bringing us all together! https:/â€¦"/>
    <m/>
    <m/>
    <x v="1"/>
    <m/>
    <s v="http://pbs.twimg.com/profile_images/459500839799750656/H7xES5vj_normal.png"/>
    <x v="3"/>
    <s v="https://twitter.com/#!/snurb_dot_info/status/1179733956805054468"/>
    <m/>
    <m/>
    <s v="1179733956805054468"/>
    <m/>
    <b v="0"/>
    <n v="0"/>
    <s v=""/>
    <b v="0"/>
    <s v="en"/>
    <m/>
    <s v=""/>
    <b v="0"/>
    <n v="2"/>
    <s v="1179704712498745344"/>
    <s v="Twitter Web App"/>
    <b v="0"/>
    <s v="1179704712498745344"/>
    <s v="Tweet"/>
    <n v="0"/>
    <n v="0"/>
    <m/>
    <m/>
    <m/>
    <m/>
    <m/>
    <m/>
    <m/>
    <m/>
    <n v="1"/>
    <s v="2"/>
    <s v="2"/>
    <m/>
    <m/>
    <m/>
    <m/>
    <m/>
    <m/>
    <m/>
    <m/>
    <m/>
  </r>
  <r>
    <s v="snurb_dot_info"/>
    <s v="phdaisy"/>
    <m/>
    <m/>
    <m/>
    <m/>
    <m/>
    <m/>
    <m/>
    <m/>
    <s v="No"/>
    <n v="8"/>
    <m/>
    <m/>
    <x v="1"/>
    <d v="2019-10-03T12:24:28.000"/>
    <s v="RT @phdaisy: Hey @VickiNashOII, look at all these #oiisdp alums representing at #aoir2019 . Thank you for bringing us all together! https:/â€¦"/>
    <m/>
    <m/>
    <x v="1"/>
    <m/>
    <s v="http://pbs.twimg.com/profile_images/459500839799750656/H7xES5vj_normal.png"/>
    <x v="3"/>
    <s v="https://twitter.com/#!/snurb_dot_info/status/1179733956805054468"/>
    <m/>
    <m/>
    <s v="1179733956805054468"/>
    <m/>
    <b v="0"/>
    <n v="0"/>
    <s v=""/>
    <b v="0"/>
    <s v="en"/>
    <m/>
    <s v=""/>
    <b v="0"/>
    <n v="2"/>
    <s v="1179704712498745344"/>
    <s v="Twitter Web App"/>
    <b v="0"/>
    <s v="1179704712498745344"/>
    <s v="Tweet"/>
    <n v="0"/>
    <n v="0"/>
    <m/>
    <m/>
    <m/>
    <m/>
    <m/>
    <m/>
    <m/>
    <m/>
    <n v="1"/>
    <s v="2"/>
    <s v="2"/>
    <n v="1"/>
    <n v="4.545454545454546"/>
    <n v="0"/>
    <n v="0"/>
    <n v="0"/>
    <n v="0"/>
    <n v="21"/>
    <n v="95.45454545454545"/>
    <n v="22"/>
  </r>
  <r>
    <s v="sabwilkinson"/>
    <s v="sabwilkinson"/>
    <m/>
    <m/>
    <m/>
    <m/>
    <m/>
    <m/>
    <m/>
    <m/>
    <s v="No"/>
    <n v="9"/>
    <m/>
    <m/>
    <x v="0"/>
    <d v="2019-10-02T16:04:17.000"/>
    <s v="Stellar delivery, and fascinating project! Well done Bondy. #oiisdp https://t.co/93QJeVYfpO"/>
    <s v="https://twitter.com/qutdmrc/status/1178575442527174657"/>
    <s v="twitter.com"/>
    <x v="2"/>
    <m/>
    <s v="http://pbs.twimg.com/profile_images/1063480420514365440/_8nRHyVW_normal.jpg"/>
    <x v="4"/>
    <s v="https://twitter.com/#!/sabwilkinson/status/1179426889636761603"/>
    <m/>
    <m/>
    <s v="1179426889636761603"/>
    <m/>
    <b v="0"/>
    <n v="4"/>
    <s v=""/>
    <b v="1"/>
    <s v="en"/>
    <m/>
    <s v="1178575442527174657"/>
    <b v="0"/>
    <n v="0"/>
    <s v=""/>
    <s v="Twitter Web App"/>
    <b v="0"/>
    <s v="1179426889636761603"/>
    <s v="Tweet"/>
    <n v="0"/>
    <n v="0"/>
    <m/>
    <m/>
    <m/>
    <m/>
    <m/>
    <m/>
    <m/>
    <m/>
    <n v="1"/>
    <s v="1"/>
    <s v="1"/>
    <n v="3"/>
    <n v="33.333333333333336"/>
    <n v="0"/>
    <n v="0"/>
    <n v="0"/>
    <n v="0"/>
    <n v="6"/>
    <n v="66.66666666666667"/>
    <n v="9"/>
  </r>
  <r>
    <s v="saviaga"/>
    <s v="sabwilkinson"/>
    <m/>
    <m/>
    <m/>
    <m/>
    <m/>
    <m/>
    <m/>
    <m/>
    <s v="No"/>
    <n v="10"/>
    <m/>
    <m/>
    <x v="1"/>
    <d v="2019-10-03T13:24:33.000"/>
    <s v="RT @sabwilkinson: Stellar delivery, and fascinating project! Well done Bondy. #oiisdp https://t.co/93QJeVYfpO"/>
    <s v="https://twitter.com/qutdmrc/status/1178575442527174657"/>
    <s v="twitter.com"/>
    <x v="2"/>
    <m/>
    <s v="http://pbs.twimg.com/profile_images/1079374662763724801/tvIDz9T-_normal.jpg"/>
    <x v="5"/>
    <s v="https://twitter.com/#!/saviaga/status/1179749079112458245"/>
    <m/>
    <m/>
    <s v="1179749079112458245"/>
    <m/>
    <b v="0"/>
    <n v="0"/>
    <s v=""/>
    <b v="1"/>
    <s v="en"/>
    <m/>
    <s v="1178575442527174657"/>
    <b v="0"/>
    <n v="1"/>
    <s v="1179426889636761603"/>
    <s v="Twitter Web App"/>
    <b v="0"/>
    <s v="1179426889636761603"/>
    <s v="Tweet"/>
    <n v="0"/>
    <n v="0"/>
    <m/>
    <m/>
    <m/>
    <m/>
    <m/>
    <m/>
    <m/>
    <m/>
    <n v="1"/>
    <s v="1"/>
    <s v="1"/>
    <n v="3"/>
    <n v="27.272727272727273"/>
    <n v="0"/>
    <n v="0"/>
    <n v="0"/>
    <n v="0"/>
    <n v="8"/>
    <n v="72.72727272727273"/>
    <n v="11"/>
  </r>
  <r>
    <s v="saviaga"/>
    <s v="qut"/>
    <m/>
    <m/>
    <m/>
    <m/>
    <m/>
    <m/>
    <m/>
    <m/>
    <s v="No"/>
    <n v="11"/>
    <m/>
    <m/>
    <x v="1"/>
    <d v="2019-10-03T13:25:21.000"/>
    <s v="@qutdmrc @BondyKaye @QUT Congratulations Bondy!!!  #oiisdp https://t.co/rDFqRrZkPe"/>
    <m/>
    <m/>
    <x v="2"/>
    <s v="https://pbs.twimg.com/tweet_video_thumb/EF9Ptj1XkAEIiZ6.jpg"/>
    <s v="https://pbs.twimg.com/tweet_video_thumb/EF9Ptj1XkAEIiZ6.jpg"/>
    <x v="6"/>
    <s v="https://twitter.com/#!/saviaga/status/1179749277532397568"/>
    <m/>
    <m/>
    <s v="1179749277532397568"/>
    <s v="1178575442527174657"/>
    <b v="0"/>
    <n v="1"/>
    <s v="3154287162"/>
    <b v="0"/>
    <s v="en"/>
    <m/>
    <s v=""/>
    <b v="0"/>
    <n v="0"/>
    <s v=""/>
    <s v="Twitter Web App"/>
    <b v="0"/>
    <s v="1178575442527174657"/>
    <s v="Tweet"/>
    <n v="0"/>
    <n v="0"/>
    <m/>
    <m/>
    <m/>
    <m/>
    <m/>
    <m/>
    <m/>
    <m/>
    <n v="1"/>
    <s v="1"/>
    <s v="1"/>
    <m/>
    <m/>
    <m/>
    <m/>
    <m/>
    <m/>
    <m/>
    <m/>
    <m/>
  </r>
  <r>
    <s v="saviaga"/>
    <s v="bondykaye"/>
    <m/>
    <m/>
    <m/>
    <m/>
    <m/>
    <m/>
    <m/>
    <m/>
    <s v="No"/>
    <n v="12"/>
    <m/>
    <m/>
    <x v="1"/>
    <d v="2019-10-03T13:25:21.000"/>
    <s v="@qutdmrc @BondyKaye @QUT Congratulations Bondy!!!  #oiisdp https://t.co/rDFqRrZkPe"/>
    <m/>
    <m/>
    <x v="2"/>
    <s v="https://pbs.twimg.com/tweet_video_thumb/EF9Ptj1XkAEIiZ6.jpg"/>
    <s v="https://pbs.twimg.com/tweet_video_thumb/EF9Ptj1XkAEIiZ6.jpg"/>
    <x v="6"/>
    <s v="https://twitter.com/#!/saviaga/status/1179749277532397568"/>
    <m/>
    <m/>
    <s v="1179749277532397568"/>
    <s v="1178575442527174657"/>
    <b v="0"/>
    <n v="1"/>
    <s v="3154287162"/>
    <b v="0"/>
    <s v="en"/>
    <m/>
    <s v=""/>
    <b v="0"/>
    <n v="0"/>
    <s v=""/>
    <s v="Twitter Web App"/>
    <b v="0"/>
    <s v="1178575442527174657"/>
    <s v="Tweet"/>
    <n v="0"/>
    <n v="0"/>
    <m/>
    <m/>
    <m/>
    <m/>
    <m/>
    <m/>
    <m/>
    <m/>
    <n v="1"/>
    <s v="1"/>
    <s v="1"/>
    <m/>
    <m/>
    <m/>
    <m/>
    <m/>
    <m/>
    <m/>
    <m/>
    <m/>
  </r>
  <r>
    <s v="saviaga"/>
    <s v="qutdmrc"/>
    <m/>
    <m/>
    <m/>
    <m/>
    <m/>
    <m/>
    <m/>
    <m/>
    <s v="No"/>
    <n v="13"/>
    <m/>
    <m/>
    <x v="2"/>
    <d v="2019-10-03T13:25:21.000"/>
    <s v="@qutdmrc @BondyKaye @QUT Congratulations Bondy!!!  #oiisdp https://t.co/rDFqRrZkPe"/>
    <m/>
    <m/>
    <x v="2"/>
    <s v="https://pbs.twimg.com/tweet_video_thumb/EF9Ptj1XkAEIiZ6.jpg"/>
    <s v="https://pbs.twimg.com/tweet_video_thumb/EF9Ptj1XkAEIiZ6.jpg"/>
    <x v="6"/>
    <s v="https://twitter.com/#!/saviaga/status/1179749277532397568"/>
    <m/>
    <m/>
    <s v="1179749277532397568"/>
    <s v="1178575442527174657"/>
    <b v="0"/>
    <n v="1"/>
    <s v="3154287162"/>
    <b v="0"/>
    <s v="en"/>
    <m/>
    <s v=""/>
    <b v="0"/>
    <n v="0"/>
    <s v=""/>
    <s v="Twitter Web App"/>
    <b v="0"/>
    <s v="1178575442527174657"/>
    <s v="Tweet"/>
    <n v="0"/>
    <n v="0"/>
    <m/>
    <m/>
    <m/>
    <m/>
    <m/>
    <m/>
    <m/>
    <m/>
    <n v="1"/>
    <s v="1"/>
    <s v="1"/>
    <n v="1"/>
    <n v="16.666666666666668"/>
    <n v="0"/>
    <n v="0"/>
    <n v="0"/>
    <n v="0"/>
    <n v="5"/>
    <n v="83.33333333333333"/>
    <n v="6"/>
  </r>
  <r>
    <s v="phdaisy"/>
    <s v="vickinashoii"/>
    <m/>
    <m/>
    <m/>
    <m/>
    <m/>
    <m/>
    <m/>
    <m/>
    <s v="Yes"/>
    <n v="14"/>
    <m/>
    <m/>
    <x v="1"/>
    <d v="2019-10-03T10:28:15.000"/>
    <s v="Hey @VickiNashOII, look at all these #oiisdp alums representing at #aoir2019 . Thank you for bringing us all together! https://t.co/RWJW8DsG7F"/>
    <m/>
    <m/>
    <x v="1"/>
    <s v="https://pbs.twimg.com/media/EF8nJ6SXoAAWsF4.jpg"/>
    <s v="https://pbs.twimg.com/media/EF8nJ6SXoAAWsF4.jpg"/>
    <x v="7"/>
    <s v="https://twitter.com/#!/phdaisy/status/1179704712498745344"/>
    <m/>
    <m/>
    <s v="1179704712498745344"/>
    <m/>
    <b v="0"/>
    <n v="5"/>
    <s v=""/>
    <b v="0"/>
    <s v="en"/>
    <m/>
    <s v=""/>
    <b v="0"/>
    <n v="2"/>
    <s v=""/>
    <s v="Twitter for iPhone"/>
    <b v="0"/>
    <s v="1179704712498745344"/>
    <s v="Tweet"/>
    <n v="0"/>
    <n v="0"/>
    <m/>
    <m/>
    <m/>
    <m/>
    <m/>
    <m/>
    <m/>
    <m/>
    <n v="1"/>
    <s v="2"/>
    <s v="2"/>
    <n v="1"/>
    <n v="5.555555555555555"/>
    <n v="0"/>
    <n v="0"/>
    <n v="0"/>
    <n v="0"/>
    <n v="17"/>
    <n v="94.44444444444444"/>
    <n v="18"/>
  </r>
  <r>
    <s v="vickinashoii"/>
    <s v="phdaisy"/>
    <m/>
    <m/>
    <m/>
    <m/>
    <m/>
    <m/>
    <m/>
    <m/>
    <s v="Yes"/>
    <n v="15"/>
    <m/>
    <m/>
    <x v="2"/>
    <d v="2019-10-03T21:26:36.000"/>
    <s v="@phdaisy what a great pic! Really wishing I was at #aoir2019 to catch up with you all but am raising a glass at home instead. #oiisdp forever! https://t.co/Nom4WL3Nnd"/>
    <s v="https://twitter.com/phdaisy/status/1179704712498745344"/>
    <s v="twitter.com"/>
    <x v="3"/>
    <m/>
    <s v="http://pbs.twimg.com/profile_images/2534760018/dx10cw081qu8u3i5f0pb_normal.jpeg"/>
    <x v="8"/>
    <s v="https://twitter.com/#!/vickinashoii/status/1179870391097069580"/>
    <m/>
    <m/>
    <s v="1179870391097069580"/>
    <m/>
    <b v="0"/>
    <n v="3"/>
    <s v="11827932"/>
    <b v="1"/>
    <s v="en"/>
    <m/>
    <s v="1179704712498745344"/>
    <b v="0"/>
    <n v="0"/>
    <s v=""/>
    <s v="Twitter for iPhone"/>
    <b v="0"/>
    <s v="1179870391097069580"/>
    <s v="Tweet"/>
    <n v="0"/>
    <n v="0"/>
    <m/>
    <m/>
    <m/>
    <m/>
    <m/>
    <m/>
    <m/>
    <m/>
    <n v="1"/>
    <s v="2"/>
    <s v="2"/>
    <n v="1"/>
    <n v="3.7037037037037037"/>
    <n v="0"/>
    <n v="0"/>
    <n v="0"/>
    <n v="0"/>
    <n v="26"/>
    <n v="96.29629629629629"/>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0"/>
        <item x="1"/>
        <item x="4"/>
        <item x="7"/>
        <item x="2"/>
        <item x="3"/>
        <item x="5"/>
        <item x="6"/>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
        <i x="3"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5" totalsRowShown="0" headerRowDxfId="384" dataDxfId="383">
  <autoFilter ref="A2:BL15"/>
  <tableColumns count="64">
    <tableColumn id="1" name="Vertex 1" dataDxfId="382"/>
    <tableColumn id="2" name="Vertex 2" dataDxfId="381"/>
    <tableColumn id="3" name="Color" dataDxfId="380"/>
    <tableColumn id="4" name="Width" dataDxfId="379"/>
    <tableColumn id="11" name="Style" dataDxfId="378"/>
    <tableColumn id="5" name="Opacity" dataDxfId="377"/>
    <tableColumn id="6" name="Visibility" dataDxfId="376"/>
    <tableColumn id="10" name="Label" dataDxfId="375"/>
    <tableColumn id="12" name="Label Text Color" dataDxfId="374"/>
    <tableColumn id="13" name="Label Font Size" dataDxfId="373"/>
    <tableColumn id="14" name="Reciprocated?" dataDxfId="240"/>
    <tableColumn id="7" name="ID" dataDxfId="372"/>
    <tableColumn id="9" name="Dynamic Filter" dataDxfId="371"/>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Twitter Page for Tweet" dataDxfId="360"/>
    <tableColumn id="25" name="Latitude" dataDxfId="359"/>
    <tableColumn id="26" name="Longitude" dataDxfId="358"/>
    <tableColumn id="27" name="Imported ID" dataDxfId="357"/>
    <tableColumn id="28" name="In-Reply-To Tweet ID" dataDxfId="356"/>
    <tableColumn id="29" name="Favorited" dataDxfId="355"/>
    <tableColumn id="30" name="Favorite Count" dataDxfId="354"/>
    <tableColumn id="31" name="In-Reply-To User ID" dataDxfId="353"/>
    <tableColumn id="32" name="Is Quote Status" dataDxfId="352"/>
    <tableColumn id="33" name="Language" dataDxfId="351"/>
    <tableColumn id="34" name="Possibly Sensitive" dataDxfId="350"/>
    <tableColumn id="35" name="Quoted Status ID" dataDxfId="349"/>
    <tableColumn id="36" name="Retweeted" dataDxfId="348"/>
    <tableColumn id="37" name="Retweet Count" dataDxfId="347"/>
    <tableColumn id="38" name="Retweet ID" dataDxfId="346"/>
    <tableColumn id="39" name="Source" dataDxfId="345"/>
    <tableColumn id="40" name="Truncated" dataDxfId="344"/>
    <tableColumn id="41" name="Unified Twitter ID" dataDxfId="343"/>
    <tableColumn id="42" name="Imported Tweet Type" dataDxfId="342"/>
    <tableColumn id="43" name="Added By Extended Analysis" dataDxfId="341"/>
    <tableColumn id="44" name="Corrected By Extended Analysis" dataDxfId="340"/>
    <tableColumn id="45" name="Place Bounding Box" dataDxfId="339"/>
    <tableColumn id="46" name="Place Country" dataDxfId="338"/>
    <tableColumn id="47" name="Place Country Code" dataDxfId="337"/>
    <tableColumn id="48" name="Place Full Name" dataDxfId="336"/>
    <tableColumn id="49" name="Place ID" dataDxfId="335"/>
    <tableColumn id="50" name="Place Name" dataDxfId="334"/>
    <tableColumn id="51" name="Place Type" dataDxfId="333"/>
    <tableColumn id="52" name="Place URL" dataDxfId="332"/>
    <tableColumn id="53" name="Edge Weight"/>
    <tableColumn id="54" name="Vertex 1 Group" dataDxfId="255">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H3" totalsRowShown="0" headerRowDxfId="239" dataDxfId="238">
  <autoFilter ref="A1:H3"/>
  <tableColumns count="8">
    <tableColumn id="1" name="Top URLs in Tweet in Entire Graph" dataDxfId="237"/>
    <tableColumn id="2" name="Entire Graph Count" dataDxfId="236"/>
    <tableColumn id="3" name="Top URLs in Tweet in G1" dataDxfId="235"/>
    <tableColumn id="4" name="G1 Count" dataDxfId="234"/>
    <tableColumn id="5" name="Top URLs in Tweet in G2" dataDxfId="233"/>
    <tableColumn id="6" name="G2 Count" dataDxfId="232"/>
    <tableColumn id="7" name="Top URLs in Tweet in G3" dataDxfId="231"/>
    <tableColumn id="8" name="G3 Count" dataDxfId="230"/>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6:H7" totalsRowShown="0" headerRowDxfId="228" dataDxfId="227">
  <autoFilter ref="A6:H7"/>
  <tableColumns count="8">
    <tableColumn id="1" name="Top Domains in Tweet in Entire Graph" dataDxfId="226"/>
    <tableColumn id="2" name="Entire Graph Count" dataDxfId="225"/>
    <tableColumn id="3" name="Top Domains in Tweet in G1" dataDxfId="224"/>
    <tableColumn id="4" name="G1 Count" dataDxfId="223"/>
    <tableColumn id="5" name="Top Domains in Tweet in G2" dataDxfId="222"/>
    <tableColumn id="6" name="G2 Count" dataDxfId="221"/>
    <tableColumn id="7" name="Top Domains in Tweet in G3" dataDxfId="220"/>
    <tableColumn id="8" name="G3 Count" dataDxfId="219"/>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0:H15" totalsRowShown="0" headerRowDxfId="217" dataDxfId="216">
  <autoFilter ref="A10:H15"/>
  <tableColumns count="8">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8:H28" totalsRowShown="0" headerRowDxfId="206" dataDxfId="205">
  <autoFilter ref="A18:H28"/>
  <tableColumns count="8">
    <tableColumn id="1" name="Top Words in Tweet in Entire Graph" dataDxfId="204"/>
    <tableColumn id="2" name="Entire Graph Count" dataDxfId="203"/>
    <tableColumn id="3" name="Top Words in Tweet in G1" dataDxfId="202"/>
    <tableColumn id="4" name="G1 Count" dataDxfId="201"/>
    <tableColumn id="5" name="Top Words in Tweet in G2" dataDxfId="200"/>
    <tableColumn id="6" name="G2 Count" dataDxfId="199"/>
    <tableColumn id="7" name="Top Words in Tweet in G3" dataDxfId="198"/>
    <tableColumn id="8" name="G3 Count" dataDxfId="197"/>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1:H41" totalsRowShown="0" headerRowDxfId="195" dataDxfId="194">
  <autoFilter ref="A31:H41"/>
  <tableColumns count="8">
    <tableColumn id="1" name="Top Word Pairs in Tweet in Entire Graph" dataDxfId="193"/>
    <tableColumn id="2" name="Entire Graph Count" dataDxfId="192"/>
    <tableColumn id="3" name="Top Word Pairs in Tweet in G1" dataDxfId="191"/>
    <tableColumn id="4" name="G1 Count" dataDxfId="190"/>
    <tableColumn id="5" name="Top Word Pairs in Tweet in G2" dataDxfId="189"/>
    <tableColumn id="6" name="G2 Count" dataDxfId="188"/>
    <tableColumn id="7" name="Top Word Pairs in Tweet in G3" dataDxfId="187"/>
    <tableColumn id="8" name="G3 Count" dataDxfId="186"/>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4:H46" totalsRowShown="0" headerRowDxfId="184" dataDxfId="183">
  <autoFilter ref="A44:H46"/>
  <tableColumns count="8">
    <tableColumn id="1" name="Top Replied-To in Entire Graph" dataDxfId="182"/>
    <tableColumn id="2" name="Entire Graph Count" dataDxfId="178"/>
    <tableColumn id="3" name="Top Replied-To in G1" dataDxfId="177"/>
    <tableColumn id="4" name="G1 Count" dataDxfId="174"/>
    <tableColumn id="5" name="Top Replied-To in G2" dataDxfId="173"/>
    <tableColumn id="6" name="G2 Count" dataDxfId="170"/>
    <tableColumn id="7" name="Top Replied-To in G3" dataDxfId="169"/>
    <tableColumn id="8" name="G3 Count" dataDxfId="16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9:H55" totalsRowShown="0" headerRowDxfId="181" dataDxfId="180">
  <autoFilter ref="A49:H55"/>
  <tableColumns count="8">
    <tableColumn id="1" name="Top Mentioned in Entire Graph" dataDxfId="179"/>
    <tableColumn id="2" name="Entire Graph Count" dataDxfId="176"/>
    <tableColumn id="3" name="Top Mentioned in G1" dataDxfId="175"/>
    <tableColumn id="4" name="G1 Count" dataDxfId="172"/>
    <tableColumn id="5" name="Top Mentioned in G2" dataDxfId="171"/>
    <tableColumn id="6" name="G2 Count" dataDxfId="167"/>
    <tableColumn id="7" name="Top Mentioned in G3" dataDxfId="166"/>
    <tableColumn id="8" name="G3 Count" dataDxfId="165"/>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58:H68" totalsRowShown="0" headerRowDxfId="162" dataDxfId="161">
  <autoFilter ref="A58:H68"/>
  <tableColumns count="8">
    <tableColumn id="1" name="Top Tweeters in Entire Graph" dataDxfId="160"/>
    <tableColumn id="2" name="Entire Graph Count" dataDxfId="159"/>
    <tableColumn id="3" name="Top Tweeters in G1" dataDxfId="158"/>
    <tableColumn id="4" name="G1 Count" dataDxfId="157"/>
    <tableColumn id="5" name="Top Tweeters in G2" dataDxfId="156"/>
    <tableColumn id="6" name="G2 Count" dataDxfId="155"/>
    <tableColumn id="7" name="Top Tweeters in G3" dataDxfId="154"/>
    <tableColumn id="8" name="G3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0" totalsRowShown="0" headerRowDxfId="141" dataDxfId="140">
  <autoFilter ref="A1:G60"/>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3" totalsRowShown="0" headerRowDxfId="331" dataDxfId="330">
  <autoFilter ref="A2:BS13"/>
  <tableColumns count="71">
    <tableColumn id="1" name="Vertex" dataDxfId="329"/>
    <tableColumn id="2" name="Color" dataDxfId="328"/>
    <tableColumn id="5" name="Shape" dataDxfId="327"/>
    <tableColumn id="6" name="Size" dataDxfId="326"/>
    <tableColumn id="4" name="Opacity" dataDxfId="325"/>
    <tableColumn id="7" name="Image File" dataDxfId="324"/>
    <tableColumn id="3" name="Visibility" dataDxfId="323"/>
    <tableColumn id="10" name="Label" dataDxfId="322"/>
    <tableColumn id="16" name="Label Fill Color" dataDxfId="321"/>
    <tableColumn id="9" name="Label Position" dataDxfId="320"/>
    <tableColumn id="8" name="Tooltip" dataDxfId="319"/>
    <tableColumn id="18" name="Layout Order" dataDxfId="318"/>
    <tableColumn id="13" name="X" dataDxfId="317"/>
    <tableColumn id="14" name="Y" dataDxfId="316"/>
    <tableColumn id="12" name="Locked?" dataDxfId="315"/>
    <tableColumn id="19" name="Polar R" dataDxfId="314"/>
    <tableColumn id="20" name="Polar Angle" dataDxfId="313"/>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12"/>
    <tableColumn id="28" name="Dynamic Filter" dataDxfId="311"/>
    <tableColumn id="17" name="Add Your Own Columns Here" dataDxfId="310"/>
    <tableColumn id="30" name="Name" dataDxfId="309"/>
    <tableColumn id="31" name="Followed" dataDxfId="308"/>
    <tableColumn id="32" name="Followers" dataDxfId="307"/>
    <tableColumn id="33" name="Tweets" dataDxfId="306"/>
    <tableColumn id="34" name="Favorites" dataDxfId="305"/>
    <tableColumn id="35" name="Time Zone UTC Offset (Seconds)" dataDxfId="304"/>
    <tableColumn id="36" name="Description" dataDxfId="303"/>
    <tableColumn id="37" name="Location" dataDxfId="302"/>
    <tableColumn id="38" name="Web" dataDxfId="301"/>
    <tableColumn id="39" name="Time Zone" dataDxfId="300"/>
    <tableColumn id="40" name="Joined Twitter Date (UTC)" dataDxfId="299"/>
    <tableColumn id="41" name="Profile Banner Url" dataDxfId="298"/>
    <tableColumn id="42" name="Default Profile" dataDxfId="297"/>
    <tableColumn id="43" name="Default Profile Image" dataDxfId="296"/>
    <tableColumn id="44" name="Geo Enabled" dataDxfId="295"/>
    <tableColumn id="45" name="Language" dataDxfId="294"/>
    <tableColumn id="46" name="Listed Count" dataDxfId="293"/>
    <tableColumn id="47" name="Profile Background Image Url" dataDxfId="292"/>
    <tableColumn id="48" name="Verified" dataDxfId="291"/>
    <tableColumn id="49" name="Custom Menu Item Text" dataDxfId="290"/>
    <tableColumn id="50" name="Custom Menu Item Action" dataDxfId="289"/>
    <tableColumn id="51" name="Tweeted Search Term?" dataDxfId="256"/>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51" totalsRowShown="0" headerRowDxfId="132" dataDxfId="131">
  <autoFilter ref="A1:L51"/>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5" totalsRowShown="0" headerRowDxfId="88" dataDxfId="87">
  <autoFilter ref="A2:C5"/>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5" totalsRowShown="0" headerRowDxfId="64" dataDxfId="63">
  <autoFilter ref="A2:BL1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88">
  <autoFilter ref="A2:AO5"/>
  <tableColumns count="41">
    <tableColumn id="1" name="Group" dataDxfId="263"/>
    <tableColumn id="2" name="Vertex Color" dataDxfId="262"/>
    <tableColumn id="3" name="Vertex Shape" dataDxfId="260"/>
    <tableColumn id="22" name="Visibility" dataDxfId="261"/>
    <tableColumn id="4" name="Collapsed?"/>
    <tableColumn id="18" name="Label" dataDxfId="287"/>
    <tableColumn id="20" name="Collapsed X"/>
    <tableColumn id="21" name="Collapsed Y"/>
    <tableColumn id="6" name="ID" dataDxfId="286"/>
    <tableColumn id="19" name="Collapsed Properties" dataDxfId="254"/>
    <tableColumn id="5" name="Vertices" dataDxfId="253"/>
    <tableColumn id="7" name="Unique Edges" dataDxfId="252"/>
    <tableColumn id="8" name="Edges With Duplicates" dataDxfId="251"/>
    <tableColumn id="9" name="Total Edges" dataDxfId="250"/>
    <tableColumn id="10" name="Self-Loops" dataDxfId="249"/>
    <tableColumn id="24" name="Reciprocated Vertex Pair Ratio" dataDxfId="248"/>
    <tableColumn id="25" name="Reciprocated Edge Ratio" dataDxfId="247"/>
    <tableColumn id="11" name="Connected Components" dataDxfId="246"/>
    <tableColumn id="12" name="Single-Vertex Connected Components" dataDxfId="245"/>
    <tableColumn id="13" name="Maximum Vertices in a Connected Component" dataDxfId="244"/>
    <tableColumn id="14" name="Maximum Edges in a Connected Component" dataDxfId="243"/>
    <tableColumn id="15" name="Maximum Geodesic Distance (Diameter)" dataDxfId="242"/>
    <tableColumn id="16" name="Average Geodesic Distance" dataDxfId="241"/>
    <tableColumn id="17" name="Graph Density" dataDxfId="229"/>
    <tableColumn id="23" name="Top URLs in Tweet" dataDxfId="218"/>
    <tableColumn id="26" name="Top Domains in Tweet" dataDxfId="207"/>
    <tableColumn id="27" name="Top Hashtags in Tweet" dataDxfId="196"/>
    <tableColumn id="28" name="Top Words in Tweet" dataDxfId="185"/>
    <tableColumn id="29" name="Top Word Pairs in Tweet" dataDxfId="164"/>
    <tableColumn id="30" name="Top Replied-To in Tweet" dataDxfId="163"/>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 totalsRowShown="0" headerRowDxfId="285" dataDxfId="284">
  <autoFilter ref="A1:C12"/>
  <tableColumns count="3">
    <tableColumn id="1" name="Group" dataDxfId="259"/>
    <tableColumn id="2" name="Vertex" dataDxfId="258"/>
    <tableColumn id="3" name="Vertex ID" dataDxfId="25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83"/>
    <tableColumn id="2" name="Degree Frequency" dataDxfId="282">
      <calculatedColumnFormula>COUNTIF(Vertices[Degree], "&gt;= " &amp; D2) - COUNTIF(Vertices[Degree], "&gt;=" &amp; D3)</calculatedColumnFormula>
    </tableColumn>
    <tableColumn id="3" name="In-Degree Bin" dataDxfId="281"/>
    <tableColumn id="4" name="In-Degree Frequency" dataDxfId="280">
      <calculatedColumnFormula>COUNTIF(Vertices[In-Degree], "&gt;= " &amp; F2) - COUNTIF(Vertices[In-Degree], "&gt;=" &amp; F3)</calculatedColumnFormula>
    </tableColumn>
    <tableColumn id="5" name="Out-Degree Bin" dataDxfId="279"/>
    <tableColumn id="6" name="Out-Degree Frequency" dataDxfId="278">
      <calculatedColumnFormula>COUNTIF(Vertices[Out-Degree], "&gt;= " &amp; H2) - COUNTIF(Vertices[Out-Degree], "&gt;=" &amp; H3)</calculatedColumnFormula>
    </tableColumn>
    <tableColumn id="7" name="Betweenness Centrality Bin" dataDxfId="277"/>
    <tableColumn id="8" name="Betweenness Centrality Frequency" dataDxfId="276">
      <calculatedColumnFormula>COUNTIF(Vertices[Betweenness Centrality], "&gt;= " &amp; J2) - COUNTIF(Vertices[Betweenness Centrality], "&gt;=" &amp; J3)</calculatedColumnFormula>
    </tableColumn>
    <tableColumn id="9" name="Closeness Centrality Bin" dataDxfId="275"/>
    <tableColumn id="10" name="Closeness Centrality Frequency" dataDxfId="274">
      <calculatedColumnFormula>COUNTIF(Vertices[Closeness Centrality], "&gt;= " &amp; L2) - COUNTIF(Vertices[Closeness Centrality], "&gt;=" &amp; L3)</calculatedColumnFormula>
    </tableColumn>
    <tableColumn id="11" name="Eigenvector Centrality Bin" dataDxfId="273"/>
    <tableColumn id="12" name="Eigenvector Centrality Frequency" dataDxfId="272">
      <calculatedColumnFormula>COUNTIF(Vertices[Eigenvector Centrality], "&gt;= " &amp; N2) - COUNTIF(Vertices[Eigenvector Centrality], "&gt;=" &amp; N3)</calculatedColumnFormula>
    </tableColumn>
    <tableColumn id="18" name="PageRank Bin" dataDxfId="271"/>
    <tableColumn id="17" name="PageRank Frequency" dataDxfId="270">
      <calculatedColumnFormula>COUNTIF(Vertices[Eigenvector Centrality], "&gt;= " &amp; P2) - COUNTIF(Vertices[Eigenvector Centrality], "&gt;=" &amp; P3)</calculatedColumnFormula>
    </tableColumn>
    <tableColumn id="13" name="Clustering Coefficient Bin" dataDxfId="269"/>
    <tableColumn id="14" name="Clustering Coefficient Frequency" dataDxfId="268">
      <calculatedColumnFormula>COUNTIF(Vertices[Clustering Coefficient], "&gt;= " &amp; R2) - COUNTIF(Vertices[Clustering Coefficient], "&gt;=" &amp; R3)</calculatedColumnFormula>
    </tableColumn>
    <tableColumn id="15" name="Dynamic Filter Bin" dataDxfId="267"/>
    <tableColumn id="16" name="Dynamic Filter Frequency" dataDxfId="26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qutdmrc/status/1178575442527174657" TargetMode="External" /><Relationship Id="rId2" Type="http://schemas.openxmlformats.org/officeDocument/2006/relationships/hyperlink" Target="https://twitter.com/qutdmrc/status/1178575442527174657" TargetMode="External" /><Relationship Id="rId3" Type="http://schemas.openxmlformats.org/officeDocument/2006/relationships/hyperlink" Target="https://twitter.com/phdaisy/status/1179704712498745344" TargetMode="External" /><Relationship Id="rId4" Type="http://schemas.openxmlformats.org/officeDocument/2006/relationships/hyperlink" Target="https://pbs.twimg.com/media/CJ4XpMxWIAAKU2s.jpg" TargetMode="External" /><Relationship Id="rId5" Type="http://schemas.openxmlformats.org/officeDocument/2006/relationships/hyperlink" Target="https://pbs.twimg.com/media/CJ4XpMxWIAAKU2s.jpg" TargetMode="External" /><Relationship Id="rId6" Type="http://schemas.openxmlformats.org/officeDocument/2006/relationships/hyperlink" Target="https://pbs.twimg.com/tweet_video_thumb/EF9Ptj1XkAEIiZ6.jpg" TargetMode="External" /><Relationship Id="rId7" Type="http://schemas.openxmlformats.org/officeDocument/2006/relationships/hyperlink" Target="https://pbs.twimg.com/tweet_video_thumb/EF9Ptj1XkAEIiZ6.jpg" TargetMode="External" /><Relationship Id="rId8" Type="http://schemas.openxmlformats.org/officeDocument/2006/relationships/hyperlink" Target="https://pbs.twimg.com/tweet_video_thumb/EF9Ptj1XkAEIiZ6.jpg" TargetMode="External" /><Relationship Id="rId9" Type="http://schemas.openxmlformats.org/officeDocument/2006/relationships/hyperlink" Target="https://pbs.twimg.com/media/EF8nJ6SXoAAWsF4.jpg" TargetMode="External" /><Relationship Id="rId10" Type="http://schemas.openxmlformats.org/officeDocument/2006/relationships/hyperlink" Target="https://pbs.twimg.com/media/CJ4XpMxWIAAKU2s.jpg" TargetMode="External" /><Relationship Id="rId11" Type="http://schemas.openxmlformats.org/officeDocument/2006/relationships/hyperlink" Target="https://pbs.twimg.com/media/CJ4XpMxWIAAKU2s.jpg" TargetMode="External" /><Relationship Id="rId12" Type="http://schemas.openxmlformats.org/officeDocument/2006/relationships/hyperlink" Target="http://pbs.twimg.com/profile_images/1014662498090475522/Go2MRzN-_normal.jpg" TargetMode="External" /><Relationship Id="rId13" Type="http://schemas.openxmlformats.org/officeDocument/2006/relationships/hyperlink" Target="http://pbs.twimg.com/profile_images/1014662498090475522/Go2MRzN-_normal.jpg" TargetMode="External" /><Relationship Id="rId14" Type="http://schemas.openxmlformats.org/officeDocument/2006/relationships/hyperlink" Target="http://pbs.twimg.com/profile_images/459500839799750656/H7xES5vj_normal.png" TargetMode="External" /><Relationship Id="rId15" Type="http://schemas.openxmlformats.org/officeDocument/2006/relationships/hyperlink" Target="http://pbs.twimg.com/profile_images/459500839799750656/H7xES5vj_normal.png" TargetMode="External" /><Relationship Id="rId16" Type="http://schemas.openxmlformats.org/officeDocument/2006/relationships/hyperlink" Target="http://pbs.twimg.com/profile_images/1063480420514365440/_8nRHyVW_normal.jpg" TargetMode="External" /><Relationship Id="rId17" Type="http://schemas.openxmlformats.org/officeDocument/2006/relationships/hyperlink" Target="http://pbs.twimg.com/profile_images/1079374662763724801/tvIDz9T-_normal.jpg" TargetMode="External" /><Relationship Id="rId18" Type="http://schemas.openxmlformats.org/officeDocument/2006/relationships/hyperlink" Target="https://pbs.twimg.com/tweet_video_thumb/EF9Ptj1XkAEIiZ6.jpg" TargetMode="External" /><Relationship Id="rId19" Type="http://schemas.openxmlformats.org/officeDocument/2006/relationships/hyperlink" Target="https://pbs.twimg.com/tweet_video_thumb/EF9Ptj1XkAEIiZ6.jpg" TargetMode="External" /><Relationship Id="rId20" Type="http://schemas.openxmlformats.org/officeDocument/2006/relationships/hyperlink" Target="https://pbs.twimg.com/tweet_video_thumb/EF9Ptj1XkAEIiZ6.jpg" TargetMode="External" /><Relationship Id="rId21" Type="http://schemas.openxmlformats.org/officeDocument/2006/relationships/hyperlink" Target="https://pbs.twimg.com/media/EF8nJ6SXoAAWsF4.jpg" TargetMode="External" /><Relationship Id="rId22" Type="http://schemas.openxmlformats.org/officeDocument/2006/relationships/hyperlink" Target="http://pbs.twimg.com/profile_images/2534760018/dx10cw081qu8u3i5f0pb_normal.jpeg" TargetMode="External" /><Relationship Id="rId23" Type="http://schemas.openxmlformats.org/officeDocument/2006/relationships/hyperlink" Target="https://twitter.com/#!/jennykorn/status/620959795957362688" TargetMode="External" /><Relationship Id="rId24" Type="http://schemas.openxmlformats.org/officeDocument/2006/relationships/hyperlink" Target="https://twitter.com/#!/pink1963dsw/status/1179217232670478336" TargetMode="External" /><Relationship Id="rId25" Type="http://schemas.openxmlformats.org/officeDocument/2006/relationships/hyperlink" Target="https://twitter.com/#!/smandpbot/status/1179727338772275201" TargetMode="External" /><Relationship Id="rId26" Type="http://schemas.openxmlformats.org/officeDocument/2006/relationships/hyperlink" Target="https://twitter.com/#!/smandpbot/status/1179727338772275201" TargetMode="External" /><Relationship Id="rId27" Type="http://schemas.openxmlformats.org/officeDocument/2006/relationships/hyperlink" Target="https://twitter.com/#!/snurb_dot_info/status/1179733956805054468" TargetMode="External" /><Relationship Id="rId28" Type="http://schemas.openxmlformats.org/officeDocument/2006/relationships/hyperlink" Target="https://twitter.com/#!/snurb_dot_info/status/1179733956805054468" TargetMode="External" /><Relationship Id="rId29" Type="http://schemas.openxmlformats.org/officeDocument/2006/relationships/hyperlink" Target="https://twitter.com/#!/sabwilkinson/status/1179426889636761603" TargetMode="External" /><Relationship Id="rId30" Type="http://schemas.openxmlformats.org/officeDocument/2006/relationships/hyperlink" Target="https://twitter.com/#!/saviaga/status/1179749079112458245" TargetMode="External" /><Relationship Id="rId31" Type="http://schemas.openxmlformats.org/officeDocument/2006/relationships/hyperlink" Target="https://twitter.com/#!/saviaga/status/1179749277532397568" TargetMode="External" /><Relationship Id="rId32" Type="http://schemas.openxmlformats.org/officeDocument/2006/relationships/hyperlink" Target="https://twitter.com/#!/saviaga/status/1179749277532397568" TargetMode="External" /><Relationship Id="rId33" Type="http://schemas.openxmlformats.org/officeDocument/2006/relationships/hyperlink" Target="https://twitter.com/#!/saviaga/status/1179749277532397568" TargetMode="External" /><Relationship Id="rId34" Type="http://schemas.openxmlformats.org/officeDocument/2006/relationships/hyperlink" Target="https://twitter.com/#!/phdaisy/status/1179704712498745344" TargetMode="External" /><Relationship Id="rId35" Type="http://schemas.openxmlformats.org/officeDocument/2006/relationships/hyperlink" Target="https://twitter.com/#!/vickinashoii/status/1179870391097069580" TargetMode="External" /><Relationship Id="rId36" Type="http://schemas.openxmlformats.org/officeDocument/2006/relationships/comments" Target="../comments1.xml" /><Relationship Id="rId37" Type="http://schemas.openxmlformats.org/officeDocument/2006/relationships/vmlDrawing" Target="../drawings/vmlDrawing1.vml" /><Relationship Id="rId38" Type="http://schemas.openxmlformats.org/officeDocument/2006/relationships/table" Target="../tables/table1.xml" /><Relationship Id="rId3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qutdmrc/status/1178575442527174657" TargetMode="External" /><Relationship Id="rId2" Type="http://schemas.openxmlformats.org/officeDocument/2006/relationships/hyperlink" Target="https://twitter.com/qutdmrc/status/1178575442527174657" TargetMode="External" /><Relationship Id="rId3" Type="http://schemas.openxmlformats.org/officeDocument/2006/relationships/hyperlink" Target="https://twitter.com/phdaisy/status/1179704712498745344" TargetMode="External" /><Relationship Id="rId4" Type="http://schemas.openxmlformats.org/officeDocument/2006/relationships/hyperlink" Target="https://pbs.twimg.com/media/CJ4XpMxWIAAKU2s.jpg" TargetMode="External" /><Relationship Id="rId5" Type="http://schemas.openxmlformats.org/officeDocument/2006/relationships/hyperlink" Target="https://pbs.twimg.com/media/CJ4XpMxWIAAKU2s.jpg" TargetMode="External" /><Relationship Id="rId6" Type="http://schemas.openxmlformats.org/officeDocument/2006/relationships/hyperlink" Target="https://pbs.twimg.com/tweet_video_thumb/EF9Ptj1XkAEIiZ6.jpg" TargetMode="External" /><Relationship Id="rId7" Type="http://schemas.openxmlformats.org/officeDocument/2006/relationships/hyperlink" Target="https://pbs.twimg.com/tweet_video_thumb/EF9Ptj1XkAEIiZ6.jpg" TargetMode="External" /><Relationship Id="rId8" Type="http://schemas.openxmlformats.org/officeDocument/2006/relationships/hyperlink" Target="https://pbs.twimg.com/tweet_video_thumb/EF9Ptj1XkAEIiZ6.jpg" TargetMode="External" /><Relationship Id="rId9" Type="http://schemas.openxmlformats.org/officeDocument/2006/relationships/hyperlink" Target="https://pbs.twimg.com/media/EF8nJ6SXoAAWsF4.jpg" TargetMode="External" /><Relationship Id="rId10" Type="http://schemas.openxmlformats.org/officeDocument/2006/relationships/hyperlink" Target="https://pbs.twimg.com/media/CJ4XpMxWIAAKU2s.jpg" TargetMode="External" /><Relationship Id="rId11" Type="http://schemas.openxmlformats.org/officeDocument/2006/relationships/hyperlink" Target="https://pbs.twimg.com/media/CJ4XpMxWIAAKU2s.jpg" TargetMode="External" /><Relationship Id="rId12" Type="http://schemas.openxmlformats.org/officeDocument/2006/relationships/hyperlink" Target="http://pbs.twimg.com/profile_images/1014662498090475522/Go2MRzN-_normal.jpg" TargetMode="External" /><Relationship Id="rId13" Type="http://schemas.openxmlformats.org/officeDocument/2006/relationships/hyperlink" Target="http://pbs.twimg.com/profile_images/1014662498090475522/Go2MRzN-_normal.jpg" TargetMode="External" /><Relationship Id="rId14" Type="http://schemas.openxmlformats.org/officeDocument/2006/relationships/hyperlink" Target="http://pbs.twimg.com/profile_images/459500839799750656/H7xES5vj_normal.png" TargetMode="External" /><Relationship Id="rId15" Type="http://schemas.openxmlformats.org/officeDocument/2006/relationships/hyperlink" Target="http://pbs.twimg.com/profile_images/459500839799750656/H7xES5vj_normal.png" TargetMode="External" /><Relationship Id="rId16" Type="http://schemas.openxmlformats.org/officeDocument/2006/relationships/hyperlink" Target="http://pbs.twimg.com/profile_images/1063480420514365440/_8nRHyVW_normal.jpg" TargetMode="External" /><Relationship Id="rId17" Type="http://schemas.openxmlformats.org/officeDocument/2006/relationships/hyperlink" Target="http://pbs.twimg.com/profile_images/1079374662763724801/tvIDz9T-_normal.jpg" TargetMode="External" /><Relationship Id="rId18" Type="http://schemas.openxmlformats.org/officeDocument/2006/relationships/hyperlink" Target="https://pbs.twimg.com/tweet_video_thumb/EF9Ptj1XkAEIiZ6.jpg" TargetMode="External" /><Relationship Id="rId19" Type="http://schemas.openxmlformats.org/officeDocument/2006/relationships/hyperlink" Target="https://pbs.twimg.com/tweet_video_thumb/EF9Ptj1XkAEIiZ6.jpg" TargetMode="External" /><Relationship Id="rId20" Type="http://schemas.openxmlformats.org/officeDocument/2006/relationships/hyperlink" Target="https://pbs.twimg.com/tweet_video_thumb/EF9Ptj1XkAEIiZ6.jpg" TargetMode="External" /><Relationship Id="rId21" Type="http://schemas.openxmlformats.org/officeDocument/2006/relationships/hyperlink" Target="https://pbs.twimg.com/media/EF8nJ6SXoAAWsF4.jpg" TargetMode="External" /><Relationship Id="rId22" Type="http://schemas.openxmlformats.org/officeDocument/2006/relationships/hyperlink" Target="http://pbs.twimg.com/profile_images/2534760018/dx10cw081qu8u3i5f0pb_normal.jpeg" TargetMode="External" /><Relationship Id="rId23" Type="http://schemas.openxmlformats.org/officeDocument/2006/relationships/hyperlink" Target="https://twitter.com/#!/jennykorn/status/620959795957362688" TargetMode="External" /><Relationship Id="rId24" Type="http://schemas.openxmlformats.org/officeDocument/2006/relationships/hyperlink" Target="https://twitter.com/#!/pink1963dsw/status/1179217232670478336" TargetMode="External" /><Relationship Id="rId25" Type="http://schemas.openxmlformats.org/officeDocument/2006/relationships/hyperlink" Target="https://twitter.com/#!/smandpbot/status/1179727338772275201" TargetMode="External" /><Relationship Id="rId26" Type="http://schemas.openxmlformats.org/officeDocument/2006/relationships/hyperlink" Target="https://twitter.com/#!/smandpbot/status/1179727338772275201" TargetMode="External" /><Relationship Id="rId27" Type="http://schemas.openxmlformats.org/officeDocument/2006/relationships/hyperlink" Target="https://twitter.com/#!/snurb_dot_info/status/1179733956805054468" TargetMode="External" /><Relationship Id="rId28" Type="http://schemas.openxmlformats.org/officeDocument/2006/relationships/hyperlink" Target="https://twitter.com/#!/snurb_dot_info/status/1179733956805054468" TargetMode="External" /><Relationship Id="rId29" Type="http://schemas.openxmlformats.org/officeDocument/2006/relationships/hyperlink" Target="https://twitter.com/#!/sabwilkinson/status/1179426889636761603" TargetMode="External" /><Relationship Id="rId30" Type="http://schemas.openxmlformats.org/officeDocument/2006/relationships/hyperlink" Target="https://twitter.com/#!/saviaga/status/1179749079112458245" TargetMode="External" /><Relationship Id="rId31" Type="http://schemas.openxmlformats.org/officeDocument/2006/relationships/hyperlink" Target="https://twitter.com/#!/saviaga/status/1179749277532397568" TargetMode="External" /><Relationship Id="rId32" Type="http://schemas.openxmlformats.org/officeDocument/2006/relationships/hyperlink" Target="https://twitter.com/#!/saviaga/status/1179749277532397568" TargetMode="External" /><Relationship Id="rId33" Type="http://schemas.openxmlformats.org/officeDocument/2006/relationships/hyperlink" Target="https://twitter.com/#!/saviaga/status/1179749277532397568" TargetMode="External" /><Relationship Id="rId34" Type="http://schemas.openxmlformats.org/officeDocument/2006/relationships/hyperlink" Target="https://twitter.com/#!/phdaisy/status/1179704712498745344" TargetMode="External" /><Relationship Id="rId35" Type="http://schemas.openxmlformats.org/officeDocument/2006/relationships/hyperlink" Target="https://twitter.com/#!/vickinashoii/status/1179870391097069580" TargetMode="External" /><Relationship Id="rId36" Type="http://schemas.openxmlformats.org/officeDocument/2006/relationships/comments" Target="../comments13.xml" /><Relationship Id="rId37" Type="http://schemas.openxmlformats.org/officeDocument/2006/relationships/vmlDrawing" Target="../drawings/vmlDrawing6.vml" /><Relationship Id="rId38" Type="http://schemas.openxmlformats.org/officeDocument/2006/relationships/table" Target="../tables/table23.xml" /><Relationship Id="rId39"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igi-global.com/gateway/article/136849" TargetMode="External" /><Relationship Id="rId2" Type="http://schemas.openxmlformats.org/officeDocument/2006/relationships/hyperlink" Target="https://t.co/sNNgY6Ta1n" TargetMode="External" /><Relationship Id="rId3" Type="http://schemas.openxmlformats.org/officeDocument/2006/relationships/hyperlink" Target="https://t.co/AYp6flIbc6" TargetMode="External" /><Relationship Id="rId4" Type="http://schemas.openxmlformats.org/officeDocument/2006/relationships/hyperlink" Target="http://www.oii.ox.ac.uk/people/?id=4" TargetMode="External" /><Relationship Id="rId5" Type="http://schemas.openxmlformats.org/officeDocument/2006/relationships/hyperlink" Target="https://t.co/DFFl3qGKRo" TargetMode="External" /><Relationship Id="rId6" Type="http://schemas.openxmlformats.org/officeDocument/2006/relationships/hyperlink" Target="http://snurb.info/" TargetMode="External" /><Relationship Id="rId7" Type="http://schemas.openxmlformats.org/officeDocument/2006/relationships/hyperlink" Target="https://t.co/i7dka1vK1b" TargetMode="External" /><Relationship Id="rId8" Type="http://schemas.openxmlformats.org/officeDocument/2006/relationships/hyperlink" Target="https://t.co/Y0GIkmE8MV" TargetMode="External" /><Relationship Id="rId9" Type="http://schemas.openxmlformats.org/officeDocument/2006/relationships/hyperlink" Target="http://t.co/m5BpZJzzFL" TargetMode="External" /><Relationship Id="rId10" Type="http://schemas.openxmlformats.org/officeDocument/2006/relationships/hyperlink" Target="https://t.co/XmBGuEQyDX" TargetMode="External" /><Relationship Id="rId11" Type="http://schemas.openxmlformats.org/officeDocument/2006/relationships/hyperlink" Target="https://pbs.twimg.com/profile_banners/23720825/1426691861" TargetMode="External" /><Relationship Id="rId12" Type="http://schemas.openxmlformats.org/officeDocument/2006/relationships/hyperlink" Target="https://pbs.twimg.com/profile_banners/1014655862177181696/1531679328" TargetMode="External" /><Relationship Id="rId13" Type="http://schemas.openxmlformats.org/officeDocument/2006/relationships/hyperlink" Target="https://pbs.twimg.com/profile_banners/57140128/1394641537" TargetMode="External" /><Relationship Id="rId14" Type="http://schemas.openxmlformats.org/officeDocument/2006/relationships/hyperlink" Target="https://pbs.twimg.com/profile_banners/11827932/1478027172" TargetMode="External" /><Relationship Id="rId15" Type="http://schemas.openxmlformats.org/officeDocument/2006/relationships/hyperlink" Target="https://pbs.twimg.com/profile_banners/78807415/1398387399" TargetMode="External" /><Relationship Id="rId16" Type="http://schemas.openxmlformats.org/officeDocument/2006/relationships/hyperlink" Target="https://pbs.twimg.com/profile_banners/121881387/1428812985" TargetMode="External" /><Relationship Id="rId17" Type="http://schemas.openxmlformats.org/officeDocument/2006/relationships/hyperlink" Target="https://pbs.twimg.com/profile_banners/133562519/1568245988" TargetMode="External" /><Relationship Id="rId18" Type="http://schemas.openxmlformats.org/officeDocument/2006/relationships/hyperlink" Target="https://pbs.twimg.com/profile_banners/575509205/1563183250" TargetMode="External" /><Relationship Id="rId19" Type="http://schemas.openxmlformats.org/officeDocument/2006/relationships/hyperlink" Target="https://pbs.twimg.com/profile_banners/3154287162/1429230756" TargetMode="External" /><Relationship Id="rId20" Type="http://schemas.openxmlformats.org/officeDocument/2006/relationships/hyperlink" Target="http://abs.twimg.com/images/themes/theme3/bg.gif" TargetMode="External" /><Relationship Id="rId21" Type="http://schemas.openxmlformats.org/officeDocument/2006/relationships/hyperlink" Target="http://abs.twimg.com/images/themes/theme11/bg.gif" TargetMode="External" /><Relationship Id="rId22" Type="http://schemas.openxmlformats.org/officeDocument/2006/relationships/hyperlink" Target="http://abs.twimg.com/images/themes/theme1/bg.png" TargetMode="External" /><Relationship Id="rId23" Type="http://schemas.openxmlformats.org/officeDocument/2006/relationships/hyperlink" Target="http://abs.twimg.com/images/themes/theme1/bg.png" TargetMode="External" /><Relationship Id="rId24" Type="http://schemas.openxmlformats.org/officeDocument/2006/relationships/hyperlink" Target="http://abs.twimg.com/images/themes/theme1/bg.png"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1/bg.png" TargetMode="External" /><Relationship Id="rId27" Type="http://schemas.openxmlformats.org/officeDocument/2006/relationships/hyperlink" Target="http://abs.twimg.com/images/themes/theme10/bg.gif" TargetMode="External" /><Relationship Id="rId28" Type="http://schemas.openxmlformats.org/officeDocument/2006/relationships/hyperlink" Target="http://abs.twimg.com/images/themes/theme1/bg.png" TargetMode="External" /><Relationship Id="rId29" Type="http://schemas.openxmlformats.org/officeDocument/2006/relationships/hyperlink" Target="http://abs.twimg.com/images/themes/theme5/bg.gif" TargetMode="External" /><Relationship Id="rId30" Type="http://schemas.openxmlformats.org/officeDocument/2006/relationships/hyperlink" Target="http://abs.twimg.com/images/themes/theme1/bg.png" TargetMode="External" /><Relationship Id="rId31" Type="http://schemas.openxmlformats.org/officeDocument/2006/relationships/hyperlink" Target="http://pbs.twimg.com/profile_images/124998778/Upload_normal.jpg" TargetMode="External" /><Relationship Id="rId32" Type="http://schemas.openxmlformats.org/officeDocument/2006/relationships/hyperlink" Target="http://pbs.twimg.com/profile_images/777652797298741248/mburwr4c_normal.jpg" TargetMode="External" /><Relationship Id="rId33" Type="http://schemas.openxmlformats.org/officeDocument/2006/relationships/hyperlink" Target="http://pbs.twimg.com/profile_images/1014662498090475522/Go2MRzN-_normal.jpg" TargetMode="External" /><Relationship Id="rId34" Type="http://schemas.openxmlformats.org/officeDocument/2006/relationships/hyperlink" Target="http://pbs.twimg.com/profile_images/2534760018/dx10cw081qu8u3i5f0pb_normal.jpeg" TargetMode="External" /><Relationship Id="rId35" Type="http://schemas.openxmlformats.org/officeDocument/2006/relationships/hyperlink" Target="http://pbs.twimg.com/profile_images/1036631570885554176/OgO8N359_normal.jpg" TargetMode="External" /><Relationship Id="rId36" Type="http://schemas.openxmlformats.org/officeDocument/2006/relationships/hyperlink" Target="http://pbs.twimg.com/profile_images/459500839799750656/H7xES5vj_normal.png" TargetMode="External" /><Relationship Id="rId37" Type="http://schemas.openxmlformats.org/officeDocument/2006/relationships/hyperlink" Target="http://pbs.twimg.com/profile_images/1063480420514365440/_8nRHyVW_normal.jpg" TargetMode="External" /><Relationship Id="rId38" Type="http://schemas.openxmlformats.org/officeDocument/2006/relationships/hyperlink" Target="http://pbs.twimg.com/profile_images/1079374662763724801/tvIDz9T-_normal.jpg" TargetMode="External" /><Relationship Id="rId39" Type="http://schemas.openxmlformats.org/officeDocument/2006/relationships/hyperlink" Target="http://pbs.twimg.com/profile_images/909649751565492224/Qx1rJ3Bl_normal.jpg" TargetMode="External" /><Relationship Id="rId40" Type="http://schemas.openxmlformats.org/officeDocument/2006/relationships/hyperlink" Target="http://pbs.twimg.com/profile_images/1150696432992686082/lBN9yH90_normal.jpg" TargetMode="External" /><Relationship Id="rId41" Type="http://schemas.openxmlformats.org/officeDocument/2006/relationships/hyperlink" Target="http://pbs.twimg.com/profile_images/885730823973945344/O9fnLDUD_normal.jpg" TargetMode="External" /><Relationship Id="rId42" Type="http://schemas.openxmlformats.org/officeDocument/2006/relationships/hyperlink" Target="https://twitter.com/jennykorn" TargetMode="External" /><Relationship Id="rId43" Type="http://schemas.openxmlformats.org/officeDocument/2006/relationships/hyperlink" Target="https://twitter.com/pink1963dsw" TargetMode="External" /><Relationship Id="rId44" Type="http://schemas.openxmlformats.org/officeDocument/2006/relationships/hyperlink" Target="https://twitter.com/smandpbot" TargetMode="External" /><Relationship Id="rId45" Type="http://schemas.openxmlformats.org/officeDocument/2006/relationships/hyperlink" Target="https://twitter.com/vickinashoii" TargetMode="External" /><Relationship Id="rId46" Type="http://schemas.openxmlformats.org/officeDocument/2006/relationships/hyperlink" Target="https://twitter.com/phdaisy" TargetMode="External" /><Relationship Id="rId47" Type="http://schemas.openxmlformats.org/officeDocument/2006/relationships/hyperlink" Target="https://twitter.com/snurb_dot_info" TargetMode="External" /><Relationship Id="rId48" Type="http://schemas.openxmlformats.org/officeDocument/2006/relationships/hyperlink" Target="https://twitter.com/sabwilkinson" TargetMode="External" /><Relationship Id="rId49" Type="http://schemas.openxmlformats.org/officeDocument/2006/relationships/hyperlink" Target="https://twitter.com/saviaga" TargetMode="External" /><Relationship Id="rId50" Type="http://schemas.openxmlformats.org/officeDocument/2006/relationships/hyperlink" Target="https://twitter.com/qut" TargetMode="External" /><Relationship Id="rId51" Type="http://schemas.openxmlformats.org/officeDocument/2006/relationships/hyperlink" Target="https://twitter.com/bondykaye" TargetMode="External" /><Relationship Id="rId52" Type="http://schemas.openxmlformats.org/officeDocument/2006/relationships/hyperlink" Target="https://twitter.com/qutdmrc" TargetMode="External" /><Relationship Id="rId53" Type="http://schemas.openxmlformats.org/officeDocument/2006/relationships/comments" Target="../comments2.xml" /><Relationship Id="rId54" Type="http://schemas.openxmlformats.org/officeDocument/2006/relationships/vmlDrawing" Target="../drawings/vmlDrawing2.vml" /><Relationship Id="rId55" Type="http://schemas.openxmlformats.org/officeDocument/2006/relationships/table" Target="../tables/table2.xml" /><Relationship Id="rId5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qutdmrc/status/1178575442527174657" TargetMode="External" /><Relationship Id="rId2" Type="http://schemas.openxmlformats.org/officeDocument/2006/relationships/hyperlink" Target="https://twitter.com/phdaisy/status/1179704712498745344" TargetMode="External" /><Relationship Id="rId3" Type="http://schemas.openxmlformats.org/officeDocument/2006/relationships/hyperlink" Target="https://twitter.com/qutdmrc/status/1178575442527174657" TargetMode="External" /><Relationship Id="rId4" Type="http://schemas.openxmlformats.org/officeDocument/2006/relationships/hyperlink" Target="https://twitter.com/phdaisy/status/1179704712498745344" TargetMode="External" /><Relationship Id="rId5" Type="http://schemas.openxmlformats.org/officeDocument/2006/relationships/table" Target="../tables/table11.xml" /><Relationship Id="rId6" Type="http://schemas.openxmlformats.org/officeDocument/2006/relationships/table" Target="../tables/table12.xml" /><Relationship Id="rId7" Type="http://schemas.openxmlformats.org/officeDocument/2006/relationships/table" Target="../tables/table13.xml" /><Relationship Id="rId8" Type="http://schemas.openxmlformats.org/officeDocument/2006/relationships/table" Target="../tables/table14.xml" /><Relationship Id="rId9" Type="http://schemas.openxmlformats.org/officeDocument/2006/relationships/table" Target="../tables/table15.xml" /><Relationship Id="rId10" Type="http://schemas.openxmlformats.org/officeDocument/2006/relationships/table" Target="../tables/table16.xml" /><Relationship Id="rId11" Type="http://schemas.openxmlformats.org/officeDocument/2006/relationships/table" Target="../tables/table17.xml" /><Relationship Id="rId1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418</v>
      </c>
      <c r="BB2" s="13" t="s">
        <v>426</v>
      </c>
      <c r="BC2" s="13" t="s">
        <v>427</v>
      </c>
      <c r="BD2" s="67" t="s">
        <v>579</v>
      </c>
      <c r="BE2" s="67" t="s">
        <v>580</v>
      </c>
      <c r="BF2" s="67" t="s">
        <v>581</v>
      </c>
      <c r="BG2" s="67" t="s">
        <v>582</v>
      </c>
      <c r="BH2" s="67" t="s">
        <v>583</v>
      </c>
      <c r="BI2" s="67" t="s">
        <v>584</v>
      </c>
      <c r="BJ2" s="67" t="s">
        <v>585</v>
      </c>
      <c r="BK2" s="67" t="s">
        <v>586</v>
      </c>
      <c r="BL2" s="67" t="s">
        <v>587</v>
      </c>
    </row>
    <row r="3" spans="1:64" ht="15" customHeight="1">
      <c r="A3" s="84" t="s">
        <v>212</v>
      </c>
      <c r="B3" s="84" t="s">
        <v>212</v>
      </c>
      <c r="C3" s="53" t="s">
        <v>623</v>
      </c>
      <c r="D3" s="54">
        <v>3</v>
      </c>
      <c r="E3" s="65" t="s">
        <v>132</v>
      </c>
      <c r="F3" s="55">
        <v>35</v>
      </c>
      <c r="G3" s="53"/>
      <c r="H3" s="57"/>
      <c r="I3" s="56"/>
      <c r="J3" s="56"/>
      <c r="K3" s="36" t="s">
        <v>65</v>
      </c>
      <c r="L3" s="62">
        <v>3</v>
      </c>
      <c r="M3" s="62"/>
      <c r="N3" s="63"/>
      <c r="O3" s="85" t="s">
        <v>176</v>
      </c>
      <c r="P3" s="87">
        <v>42199.59405092592</v>
      </c>
      <c r="Q3" s="85" t="s">
        <v>225</v>
      </c>
      <c r="R3" s="85"/>
      <c r="S3" s="85"/>
      <c r="T3" s="85" t="s">
        <v>236</v>
      </c>
      <c r="U3" s="90" t="s">
        <v>240</v>
      </c>
      <c r="V3" s="90" t="s">
        <v>240</v>
      </c>
      <c r="W3" s="87">
        <v>42199.59405092592</v>
      </c>
      <c r="X3" s="90" t="s">
        <v>248</v>
      </c>
      <c r="Y3" s="85"/>
      <c r="Z3" s="85"/>
      <c r="AA3" s="91" t="s">
        <v>257</v>
      </c>
      <c r="AB3" s="85"/>
      <c r="AC3" s="85" t="b">
        <v>0</v>
      </c>
      <c r="AD3" s="85">
        <v>5</v>
      </c>
      <c r="AE3" s="91" t="s">
        <v>267</v>
      </c>
      <c r="AF3" s="85" t="b">
        <v>0</v>
      </c>
      <c r="AG3" s="85" t="s">
        <v>270</v>
      </c>
      <c r="AH3" s="85"/>
      <c r="AI3" s="91" t="s">
        <v>267</v>
      </c>
      <c r="AJ3" s="85" t="b">
        <v>0</v>
      </c>
      <c r="AK3" s="85">
        <v>1</v>
      </c>
      <c r="AL3" s="91" t="s">
        <v>267</v>
      </c>
      <c r="AM3" s="85" t="s">
        <v>271</v>
      </c>
      <c r="AN3" s="85" t="b">
        <v>0</v>
      </c>
      <c r="AO3" s="91" t="s">
        <v>257</v>
      </c>
      <c r="AP3" s="85" t="s">
        <v>275</v>
      </c>
      <c r="AQ3" s="85">
        <v>0</v>
      </c>
      <c r="AR3" s="85">
        <v>0</v>
      </c>
      <c r="AS3" s="85"/>
      <c r="AT3" s="85"/>
      <c r="AU3" s="85"/>
      <c r="AV3" s="85"/>
      <c r="AW3" s="85"/>
      <c r="AX3" s="85"/>
      <c r="AY3" s="85"/>
      <c r="AZ3" s="85"/>
      <c r="BA3">
        <v>1</v>
      </c>
      <c r="BB3" s="85" t="str">
        <f>REPLACE(INDEX(GroupVertices[Group],MATCH(Edges[[#This Row],[Vertex 1]],GroupVertices[Vertex],0)),1,1,"")</f>
        <v>3</v>
      </c>
      <c r="BC3" s="85" t="str">
        <f>REPLACE(INDEX(GroupVertices[Group],MATCH(Edges[[#This Row],[Vertex 2]],GroupVertices[Vertex],0)),1,1,"")</f>
        <v>3</v>
      </c>
      <c r="BD3" s="51">
        <v>0</v>
      </c>
      <c r="BE3" s="52">
        <v>0</v>
      </c>
      <c r="BF3" s="51">
        <v>0</v>
      </c>
      <c r="BG3" s="52">
        <v>0</v>
      </c>
      <c r="BH3" s="51">
        <v>0</v>
      </c>
      <c r="BI3" s="52">
        <v>0</v>
      </c>
      <c r="BJ3" s="51">
        <v>11</v>
      </c>
      <c r="BK3" s="52">
        <v>100</v>
      </c>
      <c r="BL3" s="51">
        <v>11</v>
      </c>
    </row>
    <row r="4" spans="1:64" ht="15" customHeight="1">
      <c r="A4" s="84" t="s">
        <v>213</v>
      </c>
      <c r="B4" s="84" t="s">
        <v>212</v>
      </c>
      <c r="C4" s="53" t="s">
        <v>623</v>
      </c>
      <c r="D4" s="54">
        <v>3</v>
      </c>
      <c r="E4" s="65" t="s">
        <v>132</v>
      </c>
      <c r="F4" s="55">
        <v>35</v>
      </c>
      <c r="G4" s="53"/>
      <c r="H4" s="57"/>
      <c r="I4" s="56"/>
      <c r="J4" s="56"/>
      <c r="K4" s="36" t="s">
        <v>65</v>
      </c>
      <c r="L4" s="83">
        <v>4</v>
      </c>
      <c r="M4" s="83"/>
      <c r="N4" s="63"/>
      <c r="O4" s="86" t="s">
        <v>223</v>
      </c>
      <c r="P4" s="88">
        <v>43740.091099537036</v>
      </c>
      <c r="Q4" s="86" t="s">
        <v>226</v>
      </c>
      <c r="R4" s="86"/>
      <c r="S4" s="86"/>
      <c r="T4" s="86" t="s">
        <v>236</v>
      </c>
      <c r="U4" s="89" t="s">
        <v>240</v>
      </c>
      <c r="V4" s="89" t="s">
        <v>240</v>
      </c>
      <c r="W4" s="88">
        <v>43740.091099537036</v>
      </c>
      <c r="X4" s="89" t="s">
        <v>249</v>
      </c>
      <c r="Y4" s="86"/>
      <c r="Z4" s="86"/>
      <c r="AA4" s="92" t="s">
        <v>258</v>
      </c>
      <c r="AB4" s="86"/>
      <c r="AC4" s="86" t="b">
        <v>0</v>
      </c>
      <c r="AD4" s="86">
        <v>0</v>
      </c>
      <c r="AE4" s="92" t="s">
        <v>267</v>
      </c>
      <c r="AF4" s="86" t="b">
        <v>0</v>
      </c>
      <c r="AG4" s="86" t="s">
        <v>270</v>
      </c>
      <c r="AH4" s="86"/>
      <c r="AI4" s="92" t="s">
        <v>267</v>
      </c>
      <c r="AJ4" s="86" t="b">
        <v>0</v>
      </c>
      <c r="AK4" s="86">
        <v>1</v>
      </c>
      <c r="AL4" s="92" t="s">
        <v>257</v>
      </c>
      <c r="AM4" s="86" t="s">
        <v>272</v>
      </c>
      <c r="AN4" s="86" t="b">
        <v>0</v>
      </c>
      <c r="AO4" s="92" t="s">
        <v>257</v>
      </c>
      <c r="AP4" s="86" t="s">
        <v>176</v>
      </c>
      <c r="AQ4" s="86">
        <v>0</v>
      </c>
      <c r="AR4" s="86">
        <v>0</v>
      </c>
      <c r="AS4" s="86"/>
      <c r="AT4" s="86"/>
      <c r="AU4" s="86"/>
      <c r="AV4" s="86"/>
      <c r="AW4" s="86"/>
      <c r="AX4" s="86"/>
      <c r="AY4" s="86"/>
      <c r="AZ4" s="86"/>
      <c r="BA4">
        <v>1</v>
      </c>
      <c r="BB4" s="85" t="str">
        <f>REPLACE(INDEX(GroupVertices[Group],MATCH(Edges[[#This Row],[Vertex 1]],GroupVertices[Vertex],0)),1,1,"")</f>
        <v>3</v>
      </c>
      <c r="BC4" s="85" t="str">
        <f>REPLACE(INDEX(GroupVertices[Group],MATCH(Edges[[#This Row],[Vertex 2]],GroupVertices[Vertex],0)),1,1,"")</f>
        <v>3</v>
      </c>
      <c r="BD4" s="51">
        <v>0</v>
      </c>
      <c r="BE4" s="52">
        <v>0</v>
      </c>
      <c r="BF4" s="51">
        <v>0</v>
      </c>
      <c r="BG4" s="52">
        <v>0</v>
      </c>
      <c r="BH4" s="51">
        <v>0</v>
      </c>
      <c r="BI4" s="52">
        <v>0</v>
      </c>
      <c r="BJ4" s="51">
        <v>13</v>
      </c>
      <c r="BK4" s="52">
        <v>100</v>
      </c>
      <c r="BL4" s="51">
        <v>13</v>
      </c>
    </row>
    <row r="5" spans="1:64" ht="45">
      <c r="A5" s="84" t="s">
        <v>214</v>
      </c>
      <c r="B5" s="84" t="s">
        <v>219</v>
      </c>
      <c r="C5" s="53" t="s">
        <v>623</v>
      </c>
      <c r="D5" s="54">
        <v>3</v>
      </c>
      <c r="E5" s="65" t="s">
        <v>132</v>
      </c>
      <c r="F5" s="55">
        <v>35</v>
      </c>
      <c r="G5" s="53"/>
      <c r="H5" s="57"/>
      <c r="I5" s="56"/>
      <c r="J5" s="56"/>
      <c r="K5" s="36" t="s">
        <v>65</v>
      </c>
      <c r="L5" s="83">
        <v>5</v>
      </c>
      <c r="M5" s="83"/>
      <c r="N5" s="63"/>
      <c r="O5" s="86" t="s">
        <v>223</v>
      </c>
      <c r="P5" s="88">
        <v>43741.49872685185</v>
      </c>
      <c r="Q5" s="86" t="s">
        <v>227</v>
      </c>
      <c r="R5" s="86"/>
      <c r="S5" s="86"/>
      <c r="T5" s="86" t="s">
        <v>237</v>
      </c>
      <c r="U5" s="86"/>
      <c r="V5" s="89" t="s">
        <v>243</v>
      </c>
      <c r="W5" s="88">
        <v>43741.49872685185</v>
      </c>
      <c r="X5" s="89" t="s">
        <v>250</v>
      </c>
      <c r="Y5" s="86"/>
      <c r="Z5" s="86"/>
      <c r="AA5" s="92" t="s">
        <v>259</v>
      </c>
      <c r="AB5" s="86"/>
      <c r="AC5" s="86" t="b">
        <v>0</v>
      </c>
      <c r="AD5" s="86">
        <v>0</v>
      </c>
      <c r="AE5" s="92" t="s">
        <v>267</v>
      </c>
      <c r="AF5" s="86" t="b">
        <v>0</v>
      </c>
      <c r="AG5" s="86" t="s">
        <v>270</v>
      </c>
      <c r="AH5" s="86"/>
      <c r="AI5" s="92" t="s">
        <v>267</v>
      </c>
      <c r="AJ5" s="86" t="b">
        <v>0</v>
      </c>
      <c r="AK5" s="86">
        <v>2</v>
      </c>
      <c r="AL5" s="92" t="s">
        <v>264</v>
      </c>
      <c r="AM5" s="86" t="s">
        <v>273</v>
      </c>
      <c r="AN5" s="86" t="b">
        <v>0</v>
      </c>
      <c r="AO5" s="92" t="s">
        <v>264</v>
      </c>
      <c r="AP5" s="86" t="s">
        <v>176</v>
      </c>
      <c r="AQ5" s="86">
        <v>0</v>
      </c>
      <c r="AR5" s="86">
        <v>0</v>
      </c>
      <c r="AS5" s="86"/>
      <c r="AT5" s="86"/>
      <c r="AU5" s="86"/>
      <c r="AV5" s="86"/>
      <c r="AW5" s="86"/>
      <c r="AX5" s="86"/>
      <c r="AY5" s="86"/>
      <c r="AZ5" s="86"/>
      <c r="BA5">
        <v>1</v>
      </c>
      <c r="BB5" s="85" t="str">
        <f>REPLACE(INDEX(GroupVertices[Group],MATCH(Edges[[#This Row],[Vertex 1]],GroupVertices[Vertex],0)),1,1,"")</f>
        <v>2</v>
      </c>
      <c r="BC5" s="85" t="str">
        <f>REPLACE(INDEX(GroupVertices[Group],MATCH(Edges[[#This Row],[Vertex 2]],GroupVertices[Vertex],0)),1,1,"")</f>
        <v>2</v>
      </c>
      <c r="BD5" s="51"/>
      <c r="BE5" s="52"/>
      <c r="BF5" s="51"/>
      <c r="BG5" s="52"/>
      <c r="BH5" s="51"/>
      <c r="BI5" s="52"/>
      <c r="BJ5" s="51"/>
      <c r="BK5" s="52"/>
      <c r="BL5" s="51"/>
    </row>
    <row r="6" spans="1:64" ht="45">
      <c r="A6" s="84" t="s">
        <v>214</v>
      </c>
      <c r="B6" s="84" t="s">
        <v>218</v>
      </c>
      <c r="C6" s="53" t="s">
        <v>623</v>
      </c>
      <c r="D6" s="54">
        <v>3</v>
      </c>
      <c r="E6" s="65" t="s">
        <v>132</v>
      </c>
      <c r="F6" s="55">
        <v>35</v>
      </c>
      <c r="G6" s="53"/>
      <c r="H6" s="57"/>
      <c r="I6" s="56"/>
      <c r="J6" s="56"/>
      <c r="K6" s="36" t="s">
        <v>65</v>
      </c>
      <c r="L6" s="83">
        <v>6</v>
      </c>
      <c r="M6" s="83"/>
      <c r="N6" s="63"/>
      <c r="O6" s="86" t="s">
        <v>223</v>
      </c>
      <c r="P6" s="88">
        <v>43741.49872685185</v>
      </c>
      <c r="Q6" s="86" t="s">
        <v>227</v>
      </c>
      <c r="R6" s="86"/>
      <c r="S6" s="86"/>
      <c r="T6" s="86" t="s">
        <v>237</v>
      </c>
      <c r="U6" s="86"/>
      <c r="V6" s="89" t="s">
        <v>243</v>
      </c>
      <c r="W6" s="88">
        <v>43741.49872685185</v>
      </c>
      <c r="X6" s="89" t="s">
        <v>250</v>
      </c>
      <c r="Y6" s="86"/>
      <c r="Z6" s="86"/>
      <c r="AA6" s="92" t="s">
        <v>259</v>
      </c>
      <c r="AB6" s="86"/>
      <c r="AC6" s="86" t="b">
        <v>0</v>
      </c>
      <c r="AD6" s="86">
        <v>0</v>
      </c>
      <c r="AE6" s="92" t="s">
        <v>267</v>
      </c>
      <c r="AF6" s="86" t="b">
        <v>0</v>
      </c>
      <c r="AG6" s="86" t="s">
        <v>270</v>
      </c>
      <c r="AH6" s="86"/>
      <c r="AI6" s="92" t="s">
        <v>267</v>
      </c>
      <c r="AJ6" s="86" t="b">
        <v>0</v>
      </c>
      <c r="AK6" s="86">
        <v>2</v>
      </c>
      <c r="AL6" s="92" t="s">
        <v>264</v>
      </c>
      <c r="AM6" s="86" t="s">
        <v>273</v>
      </c>
      <c r="AN6" s="86" t="b">
        <v>0</v>
      </c>
      <c r="AO6" s="92" t="s">
        <v>264</v>
      </c>
      <c r="AP6" s="86" t="s">
        <v>176</v>
      </c>
      <c r="AQ6" s="86">
        <v>0</v>
      </c>
      <c r="AR6" s="86">
        <v>0</v>
      </c>
      <c r="AS6" s="86"/>
      <c r="AT6" s="86"/>
      <c r="AU6" s="86"/>
      <c r="AV6" s="86"/>
      <c r="AW6" s="86"/>
      <c r="AX6" s="86"/>
      <c r="AY6" s="86"/>
      <c r="AZ6" s="86"/>
      <c r="BA6">
        <v>1</v>
      </c>
      <c r="BB6" s="85" t="str">
        <f>REPLACE(INDEX(GroupVertices[Group],MATCH(Edges[[#This Row],[Vertex 1]],GroupVertices[Vertex],0)),1,1,"")</f>
        <v>2</v>
      </c>
      <c r="BC6" s="85" t="str">
        <f>REPLACE(INDEX(GroupVertices[Group],MATCH(Edges[[#This Row],[Vertex 2]],GroupVertices[Vertex],0)),1,1,"")</f>
        <v>2</v>
      </c>
      <c r="BD6" s="51">
        <v>1</v>
      </c>
      <c r="BE6" s="52">
        <v>4.545454545454546</v>
      </c>
      <c r="BF6" s="51">
        <v>0</v>
      </c>
      <c r="BG6" s="52">
        <v>0</v>
      </c>
      <c r="BH6" s="51">
        <v>0</v>
      </c>
      <c r="BI6" s="52">
        <v>0</v>
      </c>
      <c r="BJ6" s="51">
        <v>21</v>
      </c>
      <c r="BK6" s="52">
        <v>95.45454545454545</v>
      </c>
      <c r="BL6" s="51">
        <v>22</v>
      </c>
    </row>
    <row r="7" spans="1:64" ht="45">
      <c r="A7" s="84" t="s">
        <v>215</v>
      </c>
      <c r="B7" s="84" t="s">
        <v>219</v>
      </c>
      <c r="C7" s="53" t="s">
        <v>623</v>
      </c>
      <c r="D7" s="54">
        <v>3</v>
      </c>
      <c r="E7" s="65" t="s">
        <v>132</v>
      </c>
      <c r="F7" s="55">
        <v>35</v>
      </c>
      <c r="G7" s="53"/>
      <c r="H7" s="57"/>
      <c r="I7" s="56"/>
      <c r="J7" s="56"/>
      <c r="K7" s="36" t="s">
        <v>65</v>
      </c>
      <c r="L7" s="83">
        <v>7</v>
      </c>
      <c r="M7" s="83"/>
      <c r="N7" s="63"/>
      <c r="O7" s="86" t="s">
        <v>223</v>
      </c>
      <c r="P7" s="88">
        <v>43741.51699074074</v>
      </c>
      <c r="Q7" s="86" t="s">
        <v>227</v>
      </c>
      <c r="R7" s="86"/>
      <c r="S7" s="86"/>
      <c r="T7" s="86" t="s">
        <v>237</v>
      </c>
      <c r="U7" s="86"/>
      <c r="V7" s="89" t="s">
        <v>244</v>
      </c>
      <c r="W7" s="88">
        <v>43741.51699074074</v>
      </c>
      <c r="X7" s="89" t="s">
        <v>251</v>
      </c>
      <c r="Y7" s="86"/>
      <c r="Z7" s="86"/>
      <c r="AA7" s="92" t="s">
        <v>260</v>
      </c>
      <c r="AB7" s="86"/>
      <c r="AC7" s="86" t="b">
        <v>0</v>
      </c>
      <c r="AD7" s="86">
        <v>0</v>
      </c>
      <c r="AE7" s="92" t="s">
        <v>267</v>
      </c>
      <c r="AF7" s="86" t="b">
        <v>0</v>
      </c>
      <c r="AG7" s="86" t="s">
        <v>270</v>
      </c>
      <c r="AH7" s="86"/>
      <c r="AI7" s="92" t="s">
        <v>267</v>
      </c>
      <c r="AJ7" s="86" t="b">
        <v>0</v>
      </c>
      <c r="AK7" s="86">
        <v>2</v>
      </c>
      <c r="AL7" s="92" t="s">
        <v>264</v>
      </c>
      <c r="AM7" s="86" t="s">
        <v>274</v>
      </c>
      <c r="AN7" s="86" t="b">
        <v>0</v>
      </c>
      <c r="AO7" s="92" t="s">
        <v>264</v>
      </c>
      <c r="AP7" s="86" t="s">
        <v>176</v>
      </c>
      <c r="AQ7" s="86">
        <v>0</v>
      </c>
      <c r="AR7" s="86">
        <v>0</v>
      </c>
      <c r="AS7" s="86"/>
      <c r="AT7" s="86"/>
      <c r="AU7" s="86"/>
      <c r="AV7" s="86"/>
      <c r="AW7" s="86"/>
      <c r="AX7" s="86"/>
      <c r="AY7" s="86"/>
      <c r="AZ7" s="86"/>
      <c r="BA7">
        <v>1</v>
      </c>
      <c r="BB7" s="85" t="str">
        <f>REPLACE(INDEX(GroupVertices[Group],MATCH(Edges[[#This Row],[Vertex 1]],GroupVertices[Vertex],0)),1,1,"")</f>
        <v>2</v>
      </c>
      <c r="BC7" s="85" t="str">
        <f>REPLACE(INDEX(GroupVertices[Group],MATCH(Edges[[#This Row],[Vertex 2]],GroupVertices[Vertex],0)),1,1,"")</f>
        <v>2</v>
      </c>
      <c r="BD7" s="51"/>
      <c r="BE7" s="52"/>
      <c r="BF7" s="51"/>
      <c r="BG7" s="52"/>
      <c r="BH7" s="51"/>
      <c r="BI7" s="52"/>
      <c r="BJ7" s="51"/>
      <c r="BK7" s="52"/>
      <c r="BL7" s="51"/>
    </row>
    <row r="8" spans="1:64" ht="45">
      <c r="A8" s="84" t="s">
        <v>215</v>
      </c>
      <c r="B8" s="84" t="s">
        <v>218</v>
      </c>
      <c r="C8" s="53" t="s">
        <v>623</v>
      </c>
      <c r="D8" s="54">
        <v>3</v>
      </c>
      <c r="E8" s="65" t="s">
        <v>132</v>
      </c>
      <c r="F8" s="55">
        <v>35</v>
      </c>
      <c r="G8" s="53"/>
      <c r="H8" s="57"/>
      <c r="I8" s="56"/>
      <c r="J8" s="56"/>
      <c r="K8" s="36" t="s">
        <v>65</v>
      </c>
      <c r="L8" s="83">
        <v>8</v>
      </c>
      <c r="M8" s="83"/>
      <c r="N8" s="63"/>
      <c r="O8" s="86" t="s">
        <v>223</v>
      </c>
      <c r="P8" s="88">
        <v>43741.51699074074</v>
      </c>
      <c r="Q8" s="86" t="s">
        <v>227</v>
      </c>
      <c r="R8" s="86"/>
      <c r="S8" s="86"/>
      <c r="T8" s="86" t="s">
        <v>237</v>
      </c>
      <c r="U8" s="86"/>
      <c r="V8" s="89" t="s">
        <v>244</v>
      </c>
      <c r="W8" s="88">
        <v>43741.51699074074</v>
      </c>
      <c r="X8" s="89" t="s">
        <v>251</v>
      </c>
      <c r="Y8" s="86"/>
      <c r="Z8" s="86"/>
      <c r="AA8" s="92" t="s">
        <v>260</v>
      </c>
      <c r="AB8" s="86"/>
      <c r="AC8" s="86" t="b">
        <v>0</v>
      </c>
      <c r="AD8" s="86">
        <v>0</v>
      </c>
      <c r="AE8" s="92" t="s">
        <v>267</v>
      </c>
      <c r="AF8" s="86" t="b">
        <v>0</v>
      </c>
      <c r="AG8" s="86" t="s">
        <v>270</v>
      </c>
      <c r="AH8" s="86"/>
      <c r="AI8" s="92" t="s">
        <v>267</v>
      </c>
      <c r="AJ8" s="86" t="b">
        <v>0</v>
      </c>
      <c r="AK8" s="86">
        <v>2</v>
      </c>
      <c r="AL8" s="92" t="s">
        <v>264</v>
      </c>
      <c r="AM8" s="86" t="s">
        <v>274</v>
      </c>
      <c r="AN8" s="86" t="b">
        <v>0</v>
      </c>
      <c r="AO8" s="92" t="s">
        <v>264</v>
      </c>
      <c r="AP8" s="86" t="s">
        <v>176</v>
      </c>
      <c r="AQ8" s="86">
        <v>0</v>
      </c>
      <c r="AR8" s="86">
        <v>0</v>
      </c>
      <c r="AS8" s="86"/>
      <c r="AT8" s="86"/>
      <c r="AU8" s="86"/>
      <c r="AV8" s="86"/>
      <c r="AW8" s="86"/>
      <c r="AX8" s="86"/>
      <c r="AY8" s="86"/>
      <c r="AZ8" s="86"/>
      <c r="BA8">
        <v>1</v>
      </c>
      <c r="BB8" s="85" t="str">
        <f>REPLACE(INDEX(GroupVertices[Group],MATCH(Edges[[#This Row],[Vertex 1]],GroupVertices[Vertex],0)),1,1,"")</f>
        <v>2</v>
      </c>
      <c r="BC8" s="85" t="str">
        <f>REPLACE(INDEX(GroupVertices[Group],MATCH(Edges[[#This Row],[Vertex 2]],GroupVertices[Vertex],0)),1,1,"")</f>
        <v>2</v>
      </c>
      <c r="BD8" s="51">
        <v>1</v>
      </c>
      <c r="BE8" s="52">
        <v>4.545454545454546</v>
      </c>
      <c r="BF8" s="51">
        <v>0</v>
      </c>
      <c r="BG8" s="52">
        <v>0</v>
      </c>
      <c r="BH8" s="51">
        <v>0</v>
      </c>
      <c r="BI8" s="52">
        <v>0</v>
      </c>
      <c r="BJ8" s="51">
        <v>21</v>
      </c>
      <c r="BK8" s="52">
        <v>95.45454545454545</v>
      </c>
      <c r="BL8" s="51">
        <v>22</v>
      </c>
    </row>
    <row r="9" spans="1:64" ht="45">
      <c r="A9" s="84" t="s">
        <v>216</v>
      </c>
      <c r="B9" s="84" t="s">
        <v>216</v>
      </c>
      <c r="C9" s="53" t="s">
        <v>623</v>
      </c>
      <c r="D9" s="54">
        <v>3</v>
      </c>
      <c r="E9" s="65" t="s">
        <v>132</v>
      </c>
      <c r="F9" s="55">
        <v>35</v>
      </c>
      <c r="G9" s="53"/>
      <c r="H9" s="57"/>
      <c r="I9" s="56"/>
      <c r="J9" s="56"/>
      <c r="K9" s="36" t="s">
        <v>65</v>
      </c>
      <c r="L9" s="83">
        <v>9</v>
      </c>
      <c r="M9" s="83"/>
      <c r="N9" s="63"/>
      <c r="O9" s="86" t="s">
        <v>176</v>
      </c>
      <c r="P9" s="88">
        <v>43740.669641203705</v>
      </c>
      <c r="Q9" s="86" t="s">
        <v>228</v>
      </c>
      <c r="R9" s="89" t="s">
        <v>233</v>
      </c>
      <c r="S9" s="86" t="s">
        <v>235</v>
      </c>
      <c r="T9" s="86" t="s">
        <v>238</v>
      </c>
      <c r="U9" s="86"/>
      <c r="V9" s="89" t="s">
        <v>245</v>
      </c>
      <c r="W9" s="88">
        <v>43740.669641203705</v>
      </c>
      <c r="X9" s="89" t="s">
        <v>252</v>
      </c>
      <c r="Y9" s="86"/>
      <c r="Z9" s="86"/>
      <c r="AA9" s="92" t="s">
        <v>261</v>
      </c>
      <c r="AB9" s="86"/>
      <c r="AC9" s="86" t="b">
        <v>0</v>
      </c>
      <c r="AD9" s="86">
        <v>4</v>
      </c>
      <c r="AE9" s="92" t="s">
        <v>267</v>
      </c>
      <c r="AF9" s="86" t="b">
        <v>1</v>
      </c>
      <c r="AG9" s="86" t="s">
        <v>270</v>
      </c>
      <c r="AH9" s="86"/>
      <c r="AI9" s="92" t="s">
        <v>266</v>
      </c>
      <c r="AJ9" s="86" t="b">
        <v>0</v>
      </c>
      <c r="AK9" s="86">
        <v>0</v>
      </c>
      <c r="AL9" s="92" t="s">
        <v>267</v>
      </c>
      <c r="AM9" s="86" t="s">
        <v>274</v>
      </c>
      <c r="AN9" s="86" t="b">
        <v>0</v>
      </c>
      <c r="AO9" s="92" t="s">
        <v>261</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3</v>
      </c>
      <c r="BE9" s="52">
        <v>33.333333333333336</v>
      </c>
      <c r="BF9" s="51">
        <v>0</v>
      </c>
      <c r="BG9" s="52">
        <v>0</v>
      </c>
      <c r="BH9" s="51">
        <v>0</v>
      </c>
      <c r="BI9" s="52">
        <v>0</v>
      </c>
      <c r="BJ9" s="51">
        <v>6</v>
      </c>
      <c r="BK9" s="52">
        <v>66.66666666666667</v>
      </c>
      <c r="BL9" s="51">
        <v>9</v>
      </c>
    </row>
    <row r="10" spans="1:64" ht="45">
      <c r="A10" s="84" t="s">
        <v>217</v>
      </c>
      <c r="B10" s="84" t="s">
        <v>216</v>
      </c>
      <c r="C10" s="53" t="s">
        <v>623</v>
      </c>
      <c r="D10" s="54">
        <v>3</v>
      </c>
      <c r="E10" s="65" t="s">
        <v>132</v>
      </c>
      <c r="F10" s="55">
        <v>35</v>
      </c>
      <c r="G10" s="53"/>
      <c r="H10" s="57"/>
      <c r="I10" s="56"/>
      <c r="J10" s="56"/>
      <c r="K10" s="36" t="s">
        <v>65</v>
      </c>
      <c r="L10" s="83">
        <v>10</v>
      </c>
      <c r="M10" s="83"/>
      <c r="N10" s="63"/>
      <c r="O10" s="86" t="s">
        <v>223</v>
      </c>
      <c r="P10" s="88">
        <v>43741.55871527778</v>
      </c>
      <c r="Q10" s="86" t="s">
        <v>229</v>
      </c>
      <c r="R10" s="89" t="s">
        <v>233</v>
      </c>
      <c r="S10" s="86" t="s">
        <v>235</v>
      </c>
      <c r="T10" s="86" t="s">
        <v>238</v>
      </c>
      <c r="U10" s="86"/>
      <c r="V10" s="89" t="s">
        <v>246</v>
      </c>
      <c r="W10" s="88">
        <v>43741.55871527778</v>
      </c>
      <c r="X10" s="89" t="s">
        <v>253</v>
      </c>
      <c r="Y10" s="86"/>
      <c r="Z10" s="86"/>
      <c r="AA10" s="92" t="s">
        <v>262</v>
      </c>
      <c r="AB10" s="86"/>
      <c r="AC10" s="86" t="b">
        <v>0</v>
      </c>
      <c r="AD10" s="86">
        <v>0</v>
      </c>
      <c r="AE10" s="92" t="s">
        <v>267</v>
      </c>
      <c r="AF10" s="86" t="b">
        <v>1</v>
      </c>
      <c r="AG10" s="86" t="s">
        <v>270</v>
      </c>
      <c r="AH10" s="86"/>
      <c r="AI10" s="92" t="s">
        <v>266</v>
      </c>
      <c r="AJ10" s="86" t="b">
        <v>0</v>
      </c>
      <c r="AK10" s="86">
        <v>1</v>
      </c>
      <c r="AL10" s="92" t="s">
        <v>261</v>
      </c>
      <c r="AM10" s="86" t="s">
        <v>274</v>
      </c>
      <c r="AN10" s="86" t="b">
        <v>0</v>
      </c>
      <c r="AO10" s="92" t="s">
        <v>261</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3</v>
      </c>
      <c r="BE10" s="52">
        <v>27.272727272727273</v>
      </c>
      <c r="BF10" s="51">
        <v>0</v>
      </c>
      <c r="BG10" s="52">
        <v>0</v>
      </c>
      <c r="BH10" s="51">
        <v>0</v>
      </c>
      <c r="BI10" s="52">
        <v>0</v>
      </c>
      <c r="BJ10" s="51">
        <v>8</v>
      </c>
      <c r="BK10" s="52">
        <v>72.72727272727273</v>
      </c>
      <c r="BL10" s="51">
        <v>11</v>
      </c>
    </row>
    <row r="11" spans="1:64" ht="45">
      <c r="A11" s="84" t="s">
        <v>217</v>
      </c>
      <c r="B11" s="84" t="s">
        <v>220</v>
      </c>
      <c r="C11" s="53" t="s">
        <v>623</v>
      </c>
      <c r="D11" s="54">
        <v>3</v>
      </c>
      <c r="E11" s="65" t="s">
        <v>132</v>
      </c>
      <c r="F11" s="55">
        <v>35</v>
      </c>
      <c r="G11" s="53"/>
      <c r="H11" s="57"/>
      <c r="I11" s="56"/>
      <c r="J11" s="56"/>
      <c r="K11" s="36" t="s">
        <v>65</v>
      </c>
      <c r="L11" s="83">
        <v>11</v>
      </c>
      <c r="M11" s="83"/>
      <c r="N11" s="63"/>
      <c r="O11" s="86" t="s">
        <v>223</v>
      </c>
      <c r="P11" s="88">
        <v>43741.559270833335</v>
      </c>
      <c r="Q11" s="86" t="s">
        <v>230</v>
      </c>
      <c r="R11" s="86"/>
      <c r="S11" s="86"/>
      <c r="T11" s="86" t="s">
        <v>238</v>
      </c>
      <c r="U11" s="89" t="s">
        <v>241</v>
      </c>
      <c r="V11" s="89" t="s">
        <v>241</v>
      </c>
      <c r="W11" s="88">
        <v>43741.559270833335</v>
      </c>
      <c r="X11" s="89" t="s">
        <v>254</v>
      </c>
      <c r="Y11" s="86"/>
      <c r="Z11" s="86"/>
      <c r="AA11" s="92" t="s">
        <v>263</v>
      </c>
      <c r="AB11" s="92" t="s">
        <v>266</v>
      </c>
      <c r="AC11" s="86" t="b">
        <v>0</v>
      </c>
      <c r="AD11" s="86">
        <v>1</v>
      </c>
      <c r="AE11" s="92" t="s">
        <v>268</v>
      </c>
      <c r="AF11" s="86" t="b">
        <v>0</v>
      </c>
      <c r="AG11" s="86" t="s">
        <v>270</v>
      </c>
      <c r="AH11" s="86"/>
      <c r="AI11" s="92" t="s">
        <v>267</v>
      </c>
      <c r="AJ11" s="86" t="b">
        <v>0</v>
      </c>
      <c r="AK11" s="86">
        <v>0</v>
      </c>
      <c r="AL11" s="92" t="s">
        <v>267</v>
      </c>
      <c r="AM11" s="86" t="s">
        <v>274</v>
      </c>
      <c r="AN11" s="86" t="b">
        <v>0</v>
      </c>
      <c r="AO11" s="92" t="s">
        <v>266</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c r="BE11" s="52"/>
      <c r="BF11" s="51"/>
      <c r="BG11" s="52"/>
      <c r="BH11" s="51"/>
      <c r="BI11" s="52"/>
      <c r="BJ11" s="51"/>
      <c r="BK11" s="52"/>
      <c r="BL11" s="51"/>
    </row>
    <row r="12" spans="1:64" ht="45">
      <c r="A12" s="84" t="s">
        <v>217</v>
      </c>
      <c r="B12" s="84" t="s">
        <v>221</v>
      </c>
      <c r="C12" s="53" t="s">
        <v>623</v>
      </c>
      <c r="D12" s="54">
        <v>3</v>
      </c>
      <c r="E12" s="65" t="s">
        <v>132</v>
      </c>
      <c r="F12" s="55">
        <v>35</v>
      </c>
      <c r="G12" s="53"/>
      <c r="H12" s="57"/>
      <c r="I12" s="56"/>
      <c r="J12" s="56"/>
      <c r="K12" s="36" t="s">
        <v>65</v>
      </c>
      <c r="L12" s="83">
        <v>12</v>
      </c>
      <c r="M12" s="83"/>
      <c r="N12" s="63"/>
      <c r="O12" s="86" t="s">
        <v>223</v>
      </c>
      <c r="P12" s="88">
        <v>43741.559270833335</v>
      </c>
      <c r="Q12" s="86" t="s">
        <v>230</v>
      </c>
      <c r="R12" s="86"/>
      <c r="S12" s="86"/>
      <c r="T12" s="86" t="s">
        <v>238</v>
      </c>
      <c r="U12" s="89" t="s">
        <v>241</v>
      </c>
      <c r="V12" s="89" t="s">
        <v>241</v>
      </c>
      <c r="W12" s="88">
        <v>43741.559270833335</v>
      </c>
      <c r="X12" s="89" t="s">
        <v>254</v>
      </c>
      <c r="Y12" s="86"/>
      <c r="Z12" s="86"/>
      <c r="AA12" s="92" t="s">
        <v>263</v>
      </c>
      <c r="AB12" s="92" t="s">
        <v>266</v>
      </c>
      <c r="AC12" s="86" t="b">
        <v>0</v>
      </c>
      <c r="AD12" s="86">
        <v>1</v>
      </c>
      <c r="AE12" s="92" t="s">
        <v>268</v>
      </c>
      <c r="AF12" s="86" t="b">
        <v>0</v>
      </c>
      <c r="AG12" s="86" t="s">
        <v>270</v>
      </c>
      <c r="AH12" s="86"/>
      <c r="AI12" s="92" t="s">
        <v>267</v>
      </c>
      <c r="AJ12" s="86" t="b">
        <v>0</v>
      </c>
      <c r="AK12" s="86">
        <v>0</v>
      </c>
      <c r="AL12" s="92" t="s">
        <v>267</v>
      </c>
      <c r="AM12" s="86" t="s">
        <v>274</v>
      </c>
      <c r="AN12" s="86" t="b">
        <v>0</v>
      </c>
      <c r="AO12" s="92" t="s">
        <v>266</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c r="BE12" s="52"/>
      <c r="BF12" s="51"/>
      <c r="BG12" s="52"/>
      <c r="BH12" s="51"/>
      <c r="BI12" s="52"/>
      <c r="BJ12" s="51"/>
      <c r="BK12" s="52"/>
      <c r="BL12" s="51"/>
    </row>
    <row r="13" spans="1:64" ht="45">
      <c r="A13" s="84" t="s">
        <v>217</v>
      </c>
      <c r="B13" s="84" t="s">
        <v>222</v>
      </c>
      <c r="C13" s="53" t="s">
        <v>623</v>
      </c>
      <c r="D13" s="54">
        <v>3</v>
      </c>
      <c r="E13" s="65" t="s">
        <v>132</v>
      </c>
      <c r="F13" s="55">
        <v>35</v>
      </c>
      <c r="G13" s="53"/>
      <c r="H13" s="57"/>
      <c r="I13" s="56"/>
      <c r="J13" s="56"/>
      <c r="K13" s="36" t="s">
        <v>65</v>
      </c>
      <c r="L13" s="83">
        <v>13</v>
      </c>
      <c r="M13" s="83"/>
      <c r="N13" s="63"/>
      <c r="O13" s="86" t="s">
        <v>224</v>
      </c>
      <c r="P13" s="88">
        <v>43741.559270833335</v>
      </c>
      <c r="Q13" s="86" t="s">
        <v>230</v>
      </c>
      <c r="R13" s="86"/>
      <c r="S13" s="86"/>
      <c r="T13" s="86" t="s">
        <v>238</v>
      </c>
      <c r="U13" s="89" t="s">
        <v>241</v>
      </c>
      <c r="V13" s="89" t="s">
        <v>241</v>
      </c>
      <c r="W13" s="88">
        <v>43741.559270833335</v>
      </c>
      <c r="X13" s="89" t="s">
        <v>254</v>
      </c>
      <c r="Y13" s="86"/>
      <c r="Z13" s="86"/>
      <c r="AA13" s="92" t="s">
        <v>263</v>
      </c>
      <c r="AB13" s="92" t="s">
        <v>266</v>
      </c>
      <c r="AC13" s="86" t="b">
        <v>0</v>
      </c>
      <c r="AD13" s="86">
        <v>1</v>
      </c>
      <c r="AE13" s="92" t="s">
        <v>268</v>
      </c>
      <c r="AF13" s="86" t="b">
        <v>0</v>
      </c>
      <c r="AG13" s="86" t="s">
        <v>270</v>
      </c>
      <c r="AH13" s="86"/>
      <c r="AI13" s="92" t="s">
        <v>267</v>
      </c>
      <c r="AJ13" s="86" t="b">
        <v>0</v>
      </c>
      <c r="AK13" s="86">
        <v>0</v>
      </c>
      <c r="AL13" s="92" t="s">
        <v>267</v>
      </c>
      <c r="AM13" s="86" t="s">
        <v>274</v>
      </c>
      <c r="AN13" s="86" t="b">
        <v>0</v>
      </c>
      <c r="AO13" s="92" t="s">
        <v>266</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v>1</v>
      </c>
      <c r="BE13" s="52">
        <v>16.666666666666668</v>
      </c>
      <c r="BF13" s="51">
        <v>0</v>
      </c>
      <c r="BG13" s="52">
        <v>0</v>
      </c>
      <c r="BH13" s="51">
        <v>0</v>
      </c>
      <c r="BI13" s="52">
        <v>0</v>
      </c>
      <c r="BJ13" s="51">
        <v>5</v>
      </c>
      <c r="BK13" s="52">
        <v>83.33333333333333</v>
      </c>
      <c r="BL13" s="51">
        <v>6</v>
      </c>
    </row>
    <row r="14" spans="1:64" ht="45">
      <c r="A14" s="84" t="s">
        <v>218</v>
      </c>
      <c r="B14" s="84" t="s">
        <v>219</v>
      </c>
      <c r="C14" s="53" t="s">
        <v>623</v>
      </c>
      <c r="D14" s="54">
        <v>3</v>
      </c>
      <c r="E14" s="65" t="s">
        <v>132</v>
      </c>
      <c r="F14" s="55">
        <v>35</v>
      </c>
      <c r="G14" s="53"/>
      <c r="H14" s="57"/>
      <c r="I14" s="56"/>
      <c r="J14" s="56"/>
      <c r="K14" s="36" t="s">
        <v>66</v>
      </c>
      <c r="L14" s="83">
        <v>14</v>
      </c>
      <c r="M14" s="83"/>
      <c r="N14" s="63"/>
      <c r="O14" s="86" t="s">
        <v>223</v>
      </c>
      <c r="P14" s="88">
        <v>43741.43628472222</v>
      </c>
      <c r="Q14" s="86" t="s">
        <v>231</v>
      </c>
      <c r="R14" s="86"/>
      <c r="S14" s="86"/>
      <c r="T14" s="86" t="s">
        <v>237</v>
      </c>
      <c r="U14" s="89" t="s">
        <v>242</v>
      </c>
      <c r="V14" s="89" t="s">
        <v>242</v>
      </c>
      <c r="W14" s="88">
        <v>43741.43628472222</v>
      </c>
      <c r="X14" s="89" t="s">
        <v>255</v>
      </c>
      <c r="Y14" s="86"/>
      <c r="Z14" s="86"/>
      <c r="AA14" s="92" t="s">
        <v>264</v>
      </c>
      <c r="AB14" s="86"/>
      <c r="AC14" s="86" t="b">
        <v>0</v>
      </c>
      <c r="AD14" s="86">
        <v>5</v>
      </c>
      <c r="AE14" s="92" t="s">
        <v>267</v>
      </c>
      <c r="AF14" s="86" t="b">
        <v>0</v>
      </c>
      <c r="AG14" s="86" t="s">
        <v>270</v>
      </c>
      <c r="AH14" s="86"/>
      <c r="AI14" s="92" t="s">
        <v>267</v>
      </c>
      <c r="AJ14" s="86" t="b">
        <v>0</v>
      </c>
      <c r="AK14" s="86">
        <v>2</v>
      </c>
      <c r="AL14" s="92" t="s">
        <v>267</v>
      </c>
      <c r="AM14" s="86" t="s">
        <v>272</v>
      </c>
      <c r="AN14" s="86" t="b">
        <v>0</v>
      </c>
      <c r="AO14" s="92" t="s">
        <v>264</v>
      </c>
      <c r="AP14" s="86" t="s">
        <v>176</v>
      </c>
      <c r="AQ14" s="86">
        <v>0</v>
      </c>
      <c r="AR14" s="86">
        <v>0</v>
      </c>
      <c r="AS14" s="86"/>
      <c r="AT14" s="86"/>
      <c r="AU14" s="86"/>
      <c r="AV14" s="86"/>
      <c r="AW14" s="86"/>
      <c r="AX14" s="86"/>
      <c r="AY14" s="86"/>
      <c r="AZ14" s="86"/>
      <c r="BA14">
        <v>1</v>
      </c>
      <c r="BB14" s="85" t="str">
        <f>REPLACE(INDEX(GroupVertices[Group],MATCH(Edges[[#This Row],[Vertex 1]],GroupVertices[Vertex],0)),1,1,"")</f>
        <v>2</v>
      </c>
      <c r="BC14" s="85" t="str">
        <f>REPLACE(INDEX(GroupVertices[Group],MATCH(Edges[[#This Row],[Vertex 2]],GroupVertices[Vertex],0)),1,1,"")</f>
        <v>2</v>
      </c>
      <c r="BD14" s="51">
        <v>1</v>
      </c>
      <c r="BE14" s="52">
        <v>5.555555555555555</v>
      </c>
      <c r="BF14" s="51">
        <v>0</v>
      </c>
      <c r="BG14" s="52">
        <v>0</v>
      </c>
      <c r="BH14" s="51">
        <v>0</v>
      </c>
      <c r="BI14" s="52">
        <v>0</v>
      </c>
      <c r="BJ14" s="51">
        <v>17</v>
      </c>
      <c r="BK14" s="52">
        <v>94.44444444444444</v>
      </c>
      <c r="BL14" s="51">
        <v>18</v>
      </c>
    </row>
    <row r="15" spans="1:64" ht="45">
      <c r="A15" s="84" t="s">
        <v>219</v>
      </c>
      <c r="B15" s="84" t="s">
        <v>218</v>
      </c>
      <c r="C15" s="53" t="s">
        <v>623</v>
      </c>
      <c r="D15" s="54">
        <v>3</v>
      </c>
      <c r="E15" s="65" t="s">
        <v>132</v>
      </c>
      <c r="F15" s="55">
        <v>35</v>
      </c>
      <c r="G15" s="53"/>
      <c r="H15" s="57"/>
      <c r="I15" s="56"/>
      <c r="J15" s="56"/>
      <c r="K15" s="36" t="s">
        <v>66</v>
      </c>
      <c r="L15" s="83">
        <v>15</v>
      </c>
      <c r="M15" s="83"/>
      <c r="N15" s="63"/>
      <c r="O15" s="86" t="s">
        <v>224</v>
      </c>
      <c r="P15" s="88">
        <v>43741.893472222226</v>
      </c>
      <c r="Q15" s="86" t="s">
        <v>232</v>
      </c>
      <c r="R15" s="89" t="s">
        <v>234</v>
      </c>
      <c r="S15" s="86" t="s">
        <v>235</v>
      </c>
      <c r="T15" s="86" t="s">
        <v>239</v>
      </c>
      <c r="U15" s="86"/>
      <c r="V15" s="89" t="s">
        <v>247</v>
      </c>
      <c r="W15" s="88">
        <v>43741.893472222226</v>
      </c>
      <c r="X15" s="89" t="s">
        <v>256</v>
      </c>
      <c r="Y15" s="86"/>
      <c r="Z15" s="86"/>
      <c r="AA15" s="92" t="s">
        <v>265</v>
      </c>
      <c r="AB15" s="86"/>
      <c r="AC15" s="86" t="b">
        <v>0</v>
      </c>
      <c r="AD15" s="86">
        <v>3</v>
      </c>
      <c r="AE15" s="92" t="s">
        <v>269</v>
      </c>
      <c r="AF15" s="86" t="b">
        <v>1</v>
      </c>
      <c r="AG15" s="86" t="s">
        <v>270</v>
      </c>
      <c r="AH15" s="86"/>
      <c r="AI15" s="92" t="s">
        <v>264</v>
      </c>
      <c r="AJ15" s="86" t="b">
        <v>0</v>
      </c>
      <c r="AK15" s="86">
        <v>0</v>
      </c>
      <c r="AL15" s="92" t="s">
        <v>267</v>
      </c>
      <c r="AM15" s="86" t="s">
        <v>272</v>
      </c>
      <c r="AN15" s="86" t="b">
        <v>0</v>
      </c>
      <c r="AO15" s="92" t="s">
        <v>265</v>
      </c>
      <c r="AP15" s="86" t="s">
        <v>176</v>
      </c>
      <c r="AQ15" s="86">
        <v>0</v>
      </c>
      <c r="AR15" s="86">
        <v>0</v>
      </c>
      <c r="AS15" s="86"/>
      <c r="AT15" s="86"/>
      <c r="AU15" s="86"/>
      <c r="AV15" s="86"/>
      <c r="AW15" s="86"/>
      <c r="AX15" s="86"/>
      <c r="AY15" s="86"/>
      <c r="AZ15" s="86"/>
      <c r="BA15">
        <v>1</v>
      </c>
      <c r="BB15" s="85" t="str">
        <f>REPLACE(INDEX(GroupVertices[Group],MATCH(Edges[[#This Row],[Vertex 1]],GroupVertices[Vertex],0)),1,1,"")</f>
        <v>2</v>
      </c>
      <c r="BC15" s="85" t="str">
        <f>REPLACE(INDEX(GroupVertices[Group],MATCH(Edges[[#This Row],[Vertex 2]],GroupVertices[Vertex],0)),1,1,"")</f>
        <v>2</v>
      </c>
      <c r="BD15" s="51">
        <v>1</v>
      </c>
      <c r="BE15" s="52">
        <v>3.7037037037037037</v>
      </c>
      <c r="BF15" s="51">
        <v>0</v>
      </c>
      <c r="BG15" s="52">
        <v>0</v>
      </c>
      <c r="BH15" s="51">
        <v>0</v>
      </c>
      <c r="BI15" s="52">
        <v>0</v>
      </c>
      <c r="BJ15" s="51">
        <v>26</v>
      </c>
      <c r="BK15" s="52">
        <v>96.29629629629629</v>
      </c>
      <c r="BL15" s="51">
        <v>27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ErrorMessage="1" sqref="N2:N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Color" prompt="To select an optional edge color, right-click and select Select Color on the right-click menu." sqref="C3:C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Opacity" prompt="Enter an optional edge opacity between 0 (transparent) and 100 (opaque)." errorTitle="Invalid Edge Opacity" error="The optional edge opacity must be a whole number between 0 and 10." sqref="F3:F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showErrorMessage="1" promptTitle="Vertex 1 Name" prompt="Enter the name of the edge's first vertex." sqref="A3:A15"/>
    <dataValidation allowBlank="1" showInputMessage="1" showErrorMessage="1" promptTitle="Vertex 2 Name" prompt="Enter the name of the edge's second vertex." sqref="B3:B15"/>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
  </dataValidations>
  <hyperlinks>
    <hyperlink ref="R9" r:id="rId1" display="https://twitter.com/qutdmrc/status/1178575442527174657"/>
    <hyperlink ref="R10" r:id="rId2" display="https://twitter.com/qutdmrc/status/1178575442527174657"/>
    <hyperlink ref="R15" r:id="rId3" display="https://twitter.com/phdaisy/status/1179704712498745344"/>
    <hyperlink ref="U3" r:id="rId4" display="https://pbs.twimg.com/media/CJ4XpMxWIAAKU2s.jpg"/>
    <hyperlink ref="U4" r:id="rId5" display="https://pbs.twimg.com/media/CJ4XpMxWIAAKU2s.jpg"/>
    <hyperlink ref="U11" r:id="rId6" display="https://pbs.twimg.com/tweet_video_thumb/EF9Ptj1XkAEIiZ6.jpg"/>
    <hyperlink ref="U12" r:id="rId7" display="https://pbs.twimg.com/tweet_video_thumb/EF9Ptj1XkAEIiZ6.jpg"/>
    <hyperlink ref="U13" r:id="rId8" display="https://pbs.twimg.com/tweet_video_thumb/EF9Ptj1XkAEIiZ6.jpg"/>
    <hyperlink ref="U14" r:id="rId9" display="https://pbs.twimg.com/media/EF8nJ6SXoAAWsF4.jpg"/>
    <hyperlink ref="V3" r:id="rId10" display="https://pbs.twimg.com/media/CJ4XpMxWIAAKU2s.jpg"/>
    <hyperlink ref="V4" r:id="rId11" display="https://pbs.twimg.com/media/CJ4XpMxWIAAKU2s.jpg"/>
    <hyperlink ref="V5" r:id="rId12" display="http://pbs.twimg.com/profile_images/1014662498090475522/Go2MRzN-_normal.jpg"/>
    <hyperlink ref="V6" r:id="rId13" display="http://pbs.twimg.com/profile_images/1014662498090475522/Go2MRzN-_normal.jpg"/>
    <hyperlink ref="V7" r:id="rId14" display="http://pbs.twimg.com/profile_images/459500839799750656/H7xES5vj_normal.png"/>
    <hyperlink ref="V8" r:id="rId15" display="http://pbs.twimg.com/profile_images/459500839799750656/H7xES5vj_normal.png"/>
    <hyperlink ref="V9" r:id="rId16" display="http://pbs.twimg.com/profile_images/1063480420514365440/_8nRHyVW_normal.jpg"/>
    <hyperlink ref="V10" r:id="rId17" display="http://pbs.twimg.com/profile_images/1079374662763724801/tvIDz9T-_normal.jpg"/>
    <hyperlink ref="V11" r:id="rId18" display="https://pbs.twimg.com/tweet_video_thumb/EF9Ptj1XkAEIiZ6.jpg"/>
    <hyperlink ref="V12" r:id="rId19" display="https://pbs.twimg.com/tweet_video_thumb/EF9Ptj1XkAEIiZ6.jpg"/>
    <hyperlink ref="V13" r:id="rId20" display="https://pbs.twimg.com/tweet_video_thumb/EF9Ptj1XkAEIiZ6.jpg"/>
    <hyperlink ref="V14" r:id="rId21" display="https://pbs.twimg.com/media/EF8nJ6SXoAAWsF4.jpg"/>
    <hyperlink ref="V15" r:id="rId22" display="http://pbs.twimg.com/profile_images/2534760018/dx10cw081qu8u3i5f0pb_normal.jpeg"/>
    <hyperlink ref="X3" r:id="rId23" display="https://twitter.com/#!/jennykorn/status/620959795957362688"/>
    <hyperlink ref="X4" r:id="rId24" display="https://twitter.com/#!/pink1963dsw/status/1179217232670478336"/>
    <hyperlink ref="X5" r:id="rId25" display="https://twitter.com/#!/smandpbot/status/1179727338772275201"/>
    <hyperlink ref="X6" r:id="rId26" display="https://twitter.com/#!/smandpbot/status/1179727338772275201"/>
    <hyperlink ref="X7" r:id="rId27" display="https://twitter.com/#!/snurb_dot_info/status/1179733956805054468"/>
    <hyperlink ref="X8" r:id="rId28" display="https://twitter.com/#!/snurb_dot_info/status/1179733956805054468"/>
    <hyperlink ref="X9" r:id="rId29" display="https://twitter.com/#!/sabwilkinson/status/1179426889636761603"/>
    <hyperlink ref="X10" r:id="rId30" display="https://twitter.com/#!/saviaga/status/1179749079112458245"/>
    <hyperlink ref="X11" r:id="rId31" display="https://twitter.com/#!/saviaga/status/1179749277532397568"/>
    <hyperlink ref="X12" r:id="rId32" display="https://twitter.com/#!/saviaga/status/1179749277532397568"/>
    <hyperlink ref="X13" r:id="rId33" display="https://twitter.com/#!/saviaga/status/1179749277532397568"/>
    <hyperlink ref="X14" r:id="rId34" display="https://twitter.com/#!/phdaisy/status/1179704712498745344"/>
    <hyperlink ref="X15" r:id="rId35" display="https://twitter.com/#!/vickinashoii/status/1179870391097069580"/>
  </hyperlinks>
  <printOptions/>
  <pageMargins left="0.7" right="0.7" top="0.75" bottom="0.75" header="0.3" footer="0.3"/>
  <pageSetup horizontalDpi="600" verticalDpi="600" orientation="portrait" r:id="rId39"/>
  <legacyDrawing r:id="rId37"/>
  <tableParts>
    <tablePart r:id="rId3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570</v>
      </c>
      <c r="B1" s="13" t="s">
        <v>571</v>
      </c>
      <c r="C1" s="13" t="s">
        <v>564</v>
      </c>
      <c r="D1" s="13" t="s">
        <v>565</v>
      </c>
      <c r="E1" s="13" t="s">
        <v>572</v>
      </c>
      <c r="F1" s="13" t="s">
        <v>144</v>
      </c>
      <c r="G1" s="13" t="s">
        <v>573</v>
      </c>
      <c r="H1" s="13" t="s">
        <v>574</v>
      </c>
      <c r="I1" s="13" t="s">
        <v>575</v>
      </c>
      <c r="J1" s="13" t="s">
        <v>576</v>
      </c>
      <c r="K1" s="13" t="s">
        <v>577</v>
      </c>
      <c r="L1" s="13" t="s">
        <v>578</v>
      </c>
    </row>
    <row r="2" spans="1:12" ht="15">
      <c r="A2" s="91" t="s">
        <v>459</v>
      </c>
      <c r="B2" s="91" t="s">
        <v>457</v>
      </c>
      <c r="C2" s="91">
        <v>3</v>
      </c>
      <c r="D2" s="130">
        <v>0.01626549731998849</v>
      </c>
      <c r="E2" s="130">
        <v>0.9433845818511166</v>
      </c>
      <c r="F2" s="91" t="s">
        <v>566</v>
      </c>
      <c r="G2" s="91" t="b">
        <v>0</v>
      </c>
      <c r="H2" s="91" t="b">
        <v>0</v>
      </c>
      <c r="I2" s="91" t="b">
        <v>0</v>
      </c>
      <c r="J2" s="91" t="b">
        <v>0</v>
      </c>
      <c r="K2" s="91" t="b">
        <v>0</v>
      </c>
      <c r="L2" s="91" t="b">
        <v>0</v>
      </c>
    </row>
    <row r="3" spans="1:12" ht="15">
      <c r="A3" s="91" t="s">
        <v>460</v>
      </c>
      <c r="B3" s="91" t="s">
        <v>219</v>
      </c>
      <c r="C3" s="91">
        <v>3</v>
      </c>
      <c r="D3" s="130">
        <v>0.01626549731998849</v>
      </c>
      <c r="E3" s="130">
        <v>1.420505836570779</v>
      </c>
      <c r="F3" s="91" t="s">
        <v>566</v>
      </c>
      <c r="G3" s="91" t="b">
        <v>0</v>
      </c>
      <c r="H3" s="91" t="b">
        <v>0</v>
      </c>
      <c r="I3" s="91" t="b">
        <v>0</v>
      </c>
      <c r="J3" s="91" t="b">
        <v>0</v>
      </c>
      <c r="K3" s="91" t="b">
        <v>0</v>
      </c>
      <c r="L3" s="91" t="b">
        <v>0</v>
      </c>
    </row>
    <row r="4" spans="1:12" ht="15">
      <c r="A4" s="91" t="s">
        <v>219</v>
      </c>
      <c r="B4" s="91" t="s">
        <v>469</v>
      </c>
      <c r="C4" s="91">
        <v>3</v>
      </c>
      <c r="D4" s="130">
        <v>0.01626549731998849</v>
      </c>
      <c r="E4" s="130">
        <v>1.420505836570779</v>
      </c>
      <c r="F4" s="91" t="s">
        <v>566</v>
      </c>
      <c r="G4" s="91" t="b">
        <v>0</v>
      </c>
      <c r="H4" s="91" t="b">
        <v>0</v>
      </c>
      <c r="I4" s="91" t="b">
        <v>0</v>
      </c>
      <c r="J4" s="91" t="b">
        <v>0</v>
      </c>
      <c r="K4" s="91" t="b">
        <v>0</v>
      </c>
      <c r="L4" s="91" t="b">
        <v>0</v>
      </c>
    </row>
    <row r="5" spans="1:12" ht="15">
      <c r="A5" s="91" t="s">
        <v>469</v>
      </c>
      <c r="B5" s="91" t="s">
        <v>457</v>
      </c>
      <c r="C5" s="91">
        <v>3</v>
      </c>
      <c r="D5" s="130">
        <v>0.01626549731998849</v>
      </c>
      <c r="E5" s="130">
        <v>0.9433845818511166</v>
      </c>
      <c r="F5" s="91" t="s">
        <v>566</v>
      </c>
      <c r="G5" s="91" t="b">
        <v>0</v>
      </c>
      <c r="H5" s="91" t="b">
        <v>0</v>
      </c>
      <c r="I5" s="91" t="b">
        <v>0</v>
      </c>
      <c r="J5" s="91" t="b">
        <v>0</v>
      </c>
      <c r="K5" s="91" t="b">
        <v>0</v>
      </c>
      <c r="L5" s="91" t="b">
        <v>0</v>
      </c>
    </row>
    <row r="6" spans="1:12" ht="15">
      <c r="A6" s="91" t="s">
        <v>457</v>
      </c>
      <c r="B6" s="91" t="s">
        <v>470</v>
      </c>
      <c r="C6" s="91">
        <v>3</v>
      </c>
      <c r="D6" s="130">
        <v>0.01626549731998849</v>
      </c>
      <c r="E6" s="130">
        <v>1.295567099962479</v>
      </c>
      <c r="F6" s="91" t="s">
        <v>566</v>
      </c>
      <c r="G6" s="91" t="b">
        <v>0</v>
      </c>
      <c r="H6" s="91" t="b">
        <v>0</v>
      </c>
      <c r="I6" s="91" t="b">
        <v>0</v>
      </c>
      <c r="J6" s="91" t="b">
        <v>0</v>
      </c>
      <c r="K6" s="91" t="b">
        <v>0</v>
      </c>
      <c r="L6" s="91" t="b">
        <v>0</v>
      </c>
    </row>
    <row r="7" spans="1:12" ht="15">
      <c r="A7" s="91" t="s">
        <v>470</v>
      </c>
      <c r="B7" s="91" t="s">
        <v>471</v>
      </c>
      <c r="C7" s="91">
        <v>3</v>
      </c>
      <c r="D7" s="130">
        <v>0.01626549731998849</v>
      </c>
      <c r="E7" s="130">
        <v>1.420505836570779</v>
      </c>
      <c r="F7" s="91" t="s">
        <v>566</v>
      </c>
      <c r="G7" s="91" t="b">
        <v>0</v>
      </c>
      <c r="H7" s="91" t="b">
        <v>0</v>
      </c>
      <c r="I7" s="91" t="b">
        <v>0</v>
      </c>
      <c r="J7" s="91" t="b">
        <v>0</v>
      </c>
      <c r="K7" s="91" t="b">
        <v>0</v>
      </c>
      <c r="L7" s="91" t="b">
        <v>0</v>
      </c>
    </row>
    <row r="8" spans="1:12" ht="15">
      <c r="A8" s="91" t="s">
        <v>471</v>
      </c>
      <c r="B8" s="91" t="s">
        <v>458</v>
      </c>
      <c r="C8" s="91">
        <v>3</v>
      </c>
      <c r="D8" s="130">
        <v>0.01626549731998849</v>
      </c>
      <c r="E8" s="130">
        <v>1.295567099962479</v>
      </c>
      <c r="F8" s="91" t="s">
        <v>566</v>
      </c>
      <c r="G8" s="91" t="b">
        <v>0</v>
      </c>
      <c r="H8" s="91" t="b">
        <v>0</v>
      </c>
      <c r="I8" s="91" t="b">
        <v>0</v>
      </c>
      <c r="J8" s="91" t="b">
        <v>0</v>
      </c>
      <c r="K8" s="91" t="b">
        <v>0</v>
      </c>
      <c r="L8" s="91" t="b">
        <v>0</v>
      </c>
    </row>
    <row r="9" spans="1:12" ht="15">
      <c r="A9" s="91" t="s">
        <v>458</v>
      </c>
      <c r="B9" s="91" t="s">
        <v>472</v>
      </c>
      <c r="C9" s="91">
        <v>3</v>
      </c>
      <c r="D9" s="130">
        <v>0.01626549731998849</v>
      </c>
      <c r="E9" s="130">
        <v>1.295567099962479</v>
      </c>
      <c r="F9" s="91" t="s">
        <v>566</v>
      </c>
      <c r="G9" s="91" t="b">
        <v>0</v>
      </c>
      <c r="H9" s="91" t="b">
        <v>0</v>
      </c>
      <c r="I9" s="91" t="b">
        <v>0</v>
      </c>
      <c r="J9" s="91" t="b">
        <v>1</v>
      </c>
      <c r="K9" s="91" t="b">
        <v>0</v>
      </c>
      <c r="L9" s="91" t="b">
        <v>0</v>
      </c>
    </row>
    <row r="10" spans="1:12" ht="15">
      <c r="A10" s="91" t="s">
        <v>472</v>
      </c>
      <c r="B10" s="91" t="s">
        <v>473</v>
      </c>
      <c r="C10" s="91">
        <v>3</v>
      </c>
      <c r="D10" s="130">
        <v>0.01626549731998849</v>
      </c>
      <c r="E10" s="130">
        <v>1.420505836570779</v>
      </c>
      <c r="F10" s="91" t="s">
        <v>566</v>
      </c>
      <c r="G10" s="91" t="b">
        <v>1</v>
      </c>
      <c r="H10" s="91" t="b">
        <v>0</v>
      </c>
      <c r="I10" s="91" t="b">
        <v>0</v>
      </c>
      <c r="J10" s="91" t="b">
        <v>0</v>
      </c>
      <c r="K10" s="91" t="b">
        <v>0</v>
      </c>
      <c r="L10" s="91" t="b">
        <v>0</v>
      </c>
    </row>
    <row r="11" spans="1:12" ht="15">
      <c r="A11" s="91" t="s">
        <v>473</v>
      </c>
      <c r="B11" s="91" t="s">
        <v>561</v>
      </c>
      <c r="C11" s="91">
        <v>3</v>
      </c>
      <c r="D11" s="130">
        <v>0.01626549731998849</v>
      </c>
      <c r="E11" s="130">
        <v>1.420505836570779</v>
      </c>
      <c r="F11" s="91" t="s">
        <v>566</v>
      </c>
      <c r="G11" s="91" t="b">
        <v>0</v>
      </c>
      <c r="H11" s="91" t="b">
        <v>0</v>
      </c>
      <c r="I11" s="91" t="b">
        <v>0</v>
      </c>
      <c r="J11" s="91" t="b">
        <v>0</v>
      </c>
      <c r="K11" s="91" t="b">
        <v>0</v>
      </c>
      <c r="L11" s="91" t="b">
        <v>0</v>
      </c>
    </row>
    <row r="12" spans="1:12" ht="15">
      <c r="A12" s="91" t="s">
        <v>462</v>
      </c>
      <c r="B12" s="91" t="s">
        <v>463</v>
      </c>
      <c r="C12" s="91">
        <v>2</v>
      </c>
      <c r="D12" s="130">
        <v>0.01484573894943963</v>
      </c>
      <c r="E12" s="130">
        <v>1.5965970956264601</v>
      </c>
      <c r="F12" s="91" t="s">
        <v>566</v>
      </c>
      <c r="G12" s="91" t="b">
        <v>1</v>
      </c>
      <c r="H12" s="91" t="b">
        <v>0</v>
      </c>
      <c r="I12" s="91" t="b">
        <v>0</v>
      </c>
      <c r="J12" s="91" t="b">
        <v>0</v>
      </c>
      <c r="K12" s="91" t="b">
        <v>0</v>
      </c>
      <c r="L12" s="91" t="b">
        <v>0</v>
      </c>
    </row>
    <row r="13" spans="1:12" ht="15">
      <c r="A13" s="91" t="s">
        <v>463</v>
      </c>
      <c r="B13" s="91" t="s">
        <v>464</v>
      </c>
      <c r="C13" s="91">
        <v>2</v>
      </c>
      <c r="D13" s="130">
        <v>0.01484573894943963</v>
      </c>
      <c r="E13" s="130">
        <v>1.5965970956264601</v>
      </c>
      <c r="F13" s="91" t="s">
        <v>566</v>
      </c>
      <c r="G13" s="91" t="b">
        <v>0</v>
      </c>
      <c r="H13" s="91" t="b">
        <v>0</v>
      </c>
      <c r="I13" s="91" t="b">
        <v>0</v>
      </c>
      <c r="J13" s="91" t="b">
        <v>1</v>
      </c>
      <c r="K13" s="91" t="b">
        <v>0</v>
      </c>
      <c r="L13" s="91" t="b">
        <v>0</v>
      </c>
    </row>
    <row r="14" spans="1:12" ht="15">
      <c r="A14" s="91" t="s">
        <v>464</v>
      </c>
      <c r="B14" s="91" t="s">
        <v>465</v>
      </c>
      <c r="C14" s="91">
        <v>2</v>
      </c>
      <c r="D14" s="130">
        <v>0.01484573894943963</v>
      </c>
      <c r="E14" s="130">
        <v>1.5965970956264601</v>
      </c>
      <c r="F14" s="91" t="s">
        <v>566</v>
      </c>
      <c r="G14" s="91" t="b">
        <v>1</v>
      </c>
      <c r="H14" s="91" t="b">
        <v>0</v>
      </c>
      <c r="I14" s="91" t="b">
        <v>0</v>
      </c>
      <c r="J14" s="91" t="b">
        <v>0</v>
      </c>
      <c r="K14" s="91" t="b">
        <v>0</v>
      </c>
      <c r="L14" s="91" t="b">
        <v>0</v>
      </c>
    </row>
    <row r="15" spans="1:12" ht="15">
      <c r="A15" s="91" t="s">
        <v>465</v>
      </c>
      <c r="B15" s="91" t="s">
        <v>466</v>
      </c>
      <c r="C15" s="91">
        <v>2</v>
      </c>
      <c r="D15" s="130">
        <v>0.01484573894943963</v>
      </c>
      <c r="E15" s="130">
        <v>1.5965970956264601</v>
      </c>
      <c r="F15" s="91" t="s">
        <v>566</v>
      </c>
      <c r="G15" s="91" t="b">
        <v>0</v>
      </c>
      <c r="H15" s="91" t="b">
        <v>0</v>
      </c>
      <c r="I15" s="91" t="b">
        <v>0</v>
      </c>
      <c r="J15" s="91" t="b">
        <v>1</v>
      </c>
      <c r="K15" s="91" t="b">
        <v>0</v>
      </c>
      <c r="L15" s="91" t="b">
        <v>0</v>
      </c>
    </row>
    <row r="16" spans="1:12" ht="15">
      <c r="A16" s="91" t="s">
        <v>466</v>
      </c>
      <c r="B16" s="91" t="s">
        <v>467</v>
      </c>
      <c r="C16" s="91">
        <v>2</v>
      </c>
      <c r="D16" s="130">
        <v>0.01484573894943963</v>
      </c>
      <c r="E16" s="130">
        <v>1.5965970956264601</v>
      </c>
      <c r="F16" s="91" t="s">
        <v>566</v>
      </c>
      <c r="G16" s="91" t="b">
        <v>1</v>
      </c>
      <c r="H16" s="91" t="b">
        <v>0</v>
      </c>
      <c r="I16" s="91" t="b">
        <v>0</v>
      </c>
      <c r="J16" s="91" t="b">
        <v>0</v>
      </c>
      <c r="K16" s="91" t="b">
        <v>0</v>
      </c>
      <c r="L16" s="91" t="b">
        <v>0</v>
      </c>
    </row>
    <row r="17" spans="1:12" ht="15">
      <c r="A17" s="91" t="s">
        <v>467</v>
      </c>
      <c r="B17" s="91" t="s">
        <v>459</v>
      </c>
      <c r="C17" s="91">
        <v>2</v>
      </c>
      <c r="D17" s="130">
        <v>0.01484573894943963</v>
      </c>
      <c r="E17" s="130">
        <v>1.420505836570779</v>
      </c>
      <c r="F17" s="91" t="s">
        <v>566</v>
      </c>
      <c r="G17" s="91" t="b">
        <v>0</v>
      </c>
      <c r="H17" s="91" t="b">
        <v>0</v>
      </c>
      <c r="I17" s="91" t="b">
        <v>0</v>
      </c>
      <c r="J17" s="91" t="b">
        <v>0</v>
      </c>
      <c r="K17" s="91" t="b">
        <v>0</v>
      </c>
      <c r="L17" s="91" t="b">
        <v>0</v>
      </c>
    </row>
    <row r="18" spans="1:12" ht="15">
      <c r="A18" s="91" t="s">
        <v>218</v>
      </c>
      <c r="B18" s="91" t="s">
        <v>460</v>
      </c>
      <c r="C18" s="91">
        <v>2</v>
      </c>
      <c r="D18" s="130">
        <v>0.01484573894943963</v>
      </c>
      <c r="E18" s="130">
        <v>1.420505836570779</v>
      </c>
      <c r="F18" s="91" t="s">
        <v>566</v>
      </c>
      <c r="G18" s="91" t="b">
        <v>0</v>
      </c>
      <c r="H18" s="91" t="b">
        <v>0</v>
      </c>
      <c r="I18" s="91" t="b">
        <v>0</v>
      </c>
      <c r="J18" s="91" t="b">
        <v>0</v>
      </c>
      <c r="K18" s="91" t="b">
        <v>0</v>
      </c>
      <c r="L18" s="91" t="b">
        <v>0</v>
      </c>
    </row>
    <row r="19" spans="1:12" ht="15">
      <c r="A19" s="91" t="s">
        <v>561</v>
      </c>
      <c r="B19" s="91" t="s">
        <v>562</v>
      </c>
      <c r="C19" s="91">
        <v>2</v>
      </c>
      <c r="D19" s="130">
        <v>0.01484573894943963</v>
      </c>
      <c r="E19" s="130">
        <v>1.5965970956264601</v>
      </c>
      <c r="F19" s="91" t="s">
        <v>566</v>
      </c>
      <c r="G19" s="91" t="b">
        <v>0</v>
      </c>
      <c r="H19" s="91" t="b">
        <v>0</v>
      </c>
      <c r="I19" s="91" t="b">
        <v>0</v>
      </c>
      <c r="J19" s="91" t="b">
        <v>0</v>
      </c>
      <c r="K19" s="91" t="b">
        <v>0</v>
      </c>
      <c r="L19" s="91" t="b">
        <v>0</v>
      </c>
    </row>
    <row r="20" spans="1:12" ht="15">
      <c r="A20" s="91" t="s">
        <v>562</v>
      </c>
      <c r="B20" s="91" t="s">
        <v>563</v>
      </c>
      <c r="C20" s="91">
        <v>2</v>
      </c>
      <c r="D20" s="130">
        <v>0.01484573894943963</v>
      </c>
      <c r="E20" s="130">
        <v>1.5965970956264601</v>
      </c>
      <c r="F20" s="91" t="s">
        <v>566</v>
      </c>
      <c r="G20" s="91" t="b">
        <v>0</v>
      </c>
      <c r="H20" s="91" t="b">
        <v>0</v>
      </c>
      <c r="I20" s="91" t="b">
        <v>0</v>
      </c>
      <c r="J20" s="91" t="b">
        <v>0</v>
      </c>
      <c r="K20" s="91" t="b">
        <v>0</v>
      </c>
      <c r="L20" s="91" t="b">
        <v>0</v>
      </c>
    </row>
    <row r="21" spans="1:12" ht="15">
      <c r="A21" s="91" t="s">
        <v>475</v>
      </c>
      <c r="B21" s="91" t="s">
        <v>476</v>
      </c>
      <c r="C21" s="91">
        <v>2</v>
      </c>
      <c r="D21" s="130">
        <v>0.01484573894943963</v>
      </c>
      <c r="E21" s="130">
        <v>1.5965970956264601</v>
      </c>
      <c r="F21" s="91" t="s">
        <v>566</v>
      </c>
      <c r="G21" s="91" t="b">
        <v>0</v>
      </c>
      <c r="H21" s="91" t="b">
        <v>0</v>
      </c>
      <c r="I21" s="91" t="b">
        <v>0</v>
      </c>
      <c r="J21" s="91" t="b">
        <v>0</v>
      </c>
      <c r="K21" s="91" t="b">
        <v>0</v>
      </c>
      <c r="L21" s="91" t="b">
        <v>0</v>
      </c>
    </row>
    <row r="22" spans="1:12" ht="15">
      <c r="A22" s="91" t="s">
        <v>476</v>
      </c>
      <c r="B22" s="91" t="s">
        <v>477</v>
      </c>
      <c r="C22" s="91">
        <v>2</v>
      </c>
      <c r="D22" s="130">
        <v>0.01484573894943963</v>
      </c>
      <c r="E22" s="130">
        <v>1.5965970956264601</v>
      </c>
      <c r="F22" s="91" t="s">
        <v>566</v>
      </c>
      <c r="G22" s="91" t="b">
        <v>0</v>
      </c>
      <c r="H22" s="91" t="b">
        <v>0</v>
      </c>
      <c r="I22" s="91" t="b">
        <v>0</v>
      </c>
      <c r="J22" s="91" t="b">
        <v>0</v>
      </c>
      <c r="K22" s="91" t="b">
        <v>0</v>
      </c>
      <c r="L22" s="91" t="b">
        <v>0</v>
      </c>
    </row>
    <row r="23" spans="1:12" ht="15">
      <c r="A23" s="91" t="s">
        <v>477</v>
      </c>
      <c r="B23" s="91" t="s">
        <v>478</v>
      </c>
      <c r="C23" s="91">
        <v>2</v>
      </c>
      <c r="D23" s="130">
        <v>0.01484573894943963</v>
      </c>
      <c r="E23" s="130">
        <v>1.5965970956264601</v>
      </c>
      <c r="F23" s="91" t="s">
        <v>566</v>
      </c>
      <c r="G23" s="91" t="b">
        <v>0</v>
      </c>
      <c r="H23" s="91" t="b">
        <v>0</v>
      </c>
      <c r="I23" s="91" t="b">
        <v>0</v>
      </c>
      <c r="J23" s="91" t="b">
        <v>0</v>
      </c>
      <c r="K23" s="91" t="b">
        <v>0</v>
      </c>
      <c r="L23" s="91" t="b">
        <v>0</v>
      </c>
    </row>
    <row r="24" spans="1:12" ht="15">
      <c r="A24" s="91" t="s">
        <v>478</v>
      </c>
      <c r="B24" s="91" t="s">
        <v>479</v>
      </c>
      <c r="C24" s="91">
        <v>2</v>
      </c>
      <c r="D24" s="130">
        <v>0.01484573894943963</v>
      </c>
      <c r="E24" s="130">
        <v>1.5965970956264601</v>
      </c>
      <c r="F24" s="91" t="s">
        <v>566</v>
      </c>
      <c r="G24" s="91" t="b">
        <v>0</v>
      </c>
      <c r="H24" s="91" t="b">
        <v>0</v>
      </c>
      <c r="I24" s="91" t="b">
        <v>0</v>
      </c>
      <c r="J24" s="91" t="b">
        <v>0</v>
      </c>
      <c r="K24" s="91" t="b">
        <v>0</v>
      </c>
      <c r="L24" s="91" t="b">
        <v>0</v>
      </c>
    </row>
    <row r="25" spans="1:12" ht="15">
      <c r="A25" s="91" t="s">
        <v>479</v>
      </c>
      <c r="B25" s="91" t="s">
        <v>480</v>
      </c>
      <c r="C25" s="91">
        <v>2</v>
      </c>
      <c r="D25" s="130">
        <v>0.01484573894943963</v>
      </c>
      <c r="E25" s="130">
        <v>1.5965970956264601</v>
      </c>
      <c r="F25" s="91" t="s">
        <v>566</v>
      </c>
      <c r="G25" s="91" t="b">
        <v>0</v>
      </c>
      <c r="H25" s="91" t="b">
        <v>0</v>
      </c>
      <c r="I25" s="91" t="b">
        <v>0</v>
      </c>
      <c r="J25" s="91" t="b">
        <v>0</v>
      </c>
      <c r="K25" s="91" t="b">
        <v>0</v>
      </c>
      <c r="L25" s="91" t="b">
        <v>0</v>
      </c>
    </row>
    <row r="26" spans="1:12" ht="15">
      <c r="A26" s="91" t="s">
        <v>480</v>
      </c>
      <c r="B26" s="91" t="s">
        <v>457</v>
      </c>
      <c r="C26" s="91">
        <v>2</v>
      </c>
      <c r="D26" s="130">
        <v>0.01484573894943963</v>
      </c>
      <c r="E26" s="130">
        <v>0.9433845818511165</v>
      </c>
      <c r="F26" s="91" t="s">
        <v>566</v>
      </c>
      <c r="G26" s="91" t="b">
        <v>0</v>
      </c>
      <c r="H26" s="91" t="b">
        <v>0</v>
      </c>
      <c r="I26" s="91" t="b">
        <v>0</v>
      </c>
      <c r="J26" s="91" t="b">
        <v>0</v>
      </c>
      <c r="K26" s="91" t="b">
        <v>0</v>
      </c>
      <c r="L26" s="91" t="b">
        <v>0</v>
      </c>
    </row>
    <row r="27" spans="1:12" ht="15">
      <c r="A27" s="91" t="s">
        <v>459</v>
      </c>
      <c r="B27" s="91" t="s">
        <v>457</v>
      </c>
      <c r="C27" s="91">
        <v>3</v>
      </c>
      <c r="D27" s="130">
        <v>0</v>
      </c>
      <c r="E27" s="130">
        <v>0.8239087409443188</v>
      </c>
      <c r="F27" s="91" t="s">
        <v>419</v>
      </c>
      <c r="G27" s="91" t="b">
        <v>0</v>
      </c>
      <c r="H27" s="91" t="b">
        <v>0</v>
      </c>
      <c r="I27" s="91" t="b">
        <v>0</v>
      </c>
      <c r="J27" s="91" t="b">
        <v>0</v>
      </c>
      <c r="K27" s="91" t="b">
        <v>0</v>
      </c>
      <c r="L27" s="91" t="b">
        <v>0</v>
      </c>
    </row>
    <row r="28" spans="1:12" ht="15">
      <c r="A28" s="91" t="s">
        <v>462</v>
      </c>
      <c r="B28" s="91" t="s">
        <v>463</v>
      </c>
      <c r="C28" s="91">
        <v>2</v>
      </c>
      <c r="D28" s="130">
        <v>0.015312283396146193</v>
      </c>
      <c r="E28" s="130">
        <v>0.9999999999999999</v>
      </c>
      <c r="F28" s="91" t="s">
        <v>419</v>
      </c>
      <c r="G28" s="91" t="b">
        <v>1</v>
      </c>
      <c r="H28" s="91" t="b">
        <v>0</v>
      </c>
      <c r="I28" s="91" t="b">
        <v>0</v>
      </c>
      <c r="J28" s="91" t="b">
        <v>0</v>
      </c>
      <c r="K28" s="91" t="b">
        <v>0</v>
      </c>
      <c r="L28" s="91" t="b">
        <v>0</v>
      </c>
    </row>
    <row r="29" spans="1:12" ht="15">
      <c r="A29" s="91" t="s">
        <v>463</v>
      </c>
      <c r="B29" s="91" t="s">
        <v>464</v>
      </c>
      <c r="C29" s="91">
        <v>2</v>
      </c>
      <c r="D29" s="130">
        <v>0.015312283396146193</v>
      </c>
      <c r="E29" s="130">
        <v>0.9999999999999999</v>
      </c>
      <c r="F29" s="91" t="s">
        <v>419</v>
      </c>
      <c r="G29" s="91" t="b">
        <v>0</v>
      </c>
      <c r="H29" s="91" t="b">
        <v>0</v>
      </c>
      <c r="I29" s="91" t="b">
        <v>0</v>
      </c>
      <c r="J29" s="91" t="b">
        <v>1</v>
      </c>
      <c r="K29" s="91" t="b">
        <v>0</v>
      </c>
      <c r="L29" s="91" t="b">
        <v>0</v>
      </c>
    </row>
    <row r="30" spans="1:12" ht="15">
      <c r="A30" s="91" t="s">
        <v>464</v>
      </c>
      <c r="B30" s="91" t="s">
        <v>465</v>
      </c>
      <c r="C30" s="91">
        <v>2</v>
      </c>
      <c r="D30" s="130">
        <v>0.015312283396146193</v>
      </c>
      <c r="E30" s="130">
        <v>0.9999999999999999</v>
      </c>
      <c r="F30" s="91" t="s">
        <v>419</v>
      </c>
      <c r="G30" s="91" t="b">
        <v>1</v>
      </c>
      <c r="H30" s="91" t="b">
        <v>0</v>
      </c>
      <c r="I30" s="91" t="b">
        <v>0</v>
      </c>
      <c r="J30" s="91" t="b">
        <v>0</v>
      </c>
      <c r="K30" s="91" t="b">
        <v>0</v>
      </c>
      <c r="L30" s="91" t="b">
        <v>0</v>
      </c>
    </row>
    <row r="31" spans="1:12" ht="15">
      <c r="A31" s="91" t="s">
        <v>465</v>
      </c>
      <c r="B31" s="91" t="s">
        <v>466</v>
      </c>
      <c r="C31" s="91">
        <v>2</v>
      </c>
      <c r="D31" s="130">
        <v>0.015312283396146193</v>
      </c>
      <c r="E31" s="130">
        <v>0.9999999999999999</v>
      </c>
      <c r="F31" s="91" t="s">
        <v>419</v>
      </c>
      <c r="G31" s="91" t="b">
        <v>0</v>
      </c>
      <c r="H31" s="91" t="b">
        <v>0</v>
      </c>
      <c r="I31" s="91" t="b">
        <v>0</v>
      </c>
      <c r="J31" s="91" t="b">
        <v>1</v>
      </c>
      <c r="K31" s="91" t="b">
        <v>0</v>
      </c>
      <c r="L31" s="91" t="b">
        <v>0</v>
      </c>
    </row>
    <row r="32" spans="1:12" ht="15">
      <c r="A32" s="91" t="s">
        <v>466</v>
      </c>
      <c r="B32" s="91" t="s">
        <v>467</v>
      </c>
      <c r="C32" s="91">
        <v>2</v>
      </c>
      <c r="D32" s="130">
        <v>0.015312283396146193</v>
      </c>
      <c r="E32" s="130">
        <v>0.9999999999999999</v>
      </c>
      <c r="F32" s="91" t="s">
        <v>419</v>
      </c>
      <c r="G32" s="91" t="b">
        <v>1</v>
      </c>
      <c r="H32" s="91" t="b">
        <v>0</v>
      </c>
      <c r="I32" s="91" t="b">
        <v>0</v>
      </c>
      <c r="J32" s="91" t="b">
        <v>0</v>
      </c>
      <c r="K32" s="91" t="b">
        <v>0</v>
      </c>
      <c r="L32" s="91" t="b">
        <v>0</v>
      </c>
    </row>
    <row r="33" spans="1:12" ht="15">
      <c r="A33" s="91" t="s">
        <v>467</v>
      </c>
      <c r="B33" s="91" t="s">
        <v>459</v>
      </c>
      <c r="C33" s="91">
        <v>2</v>
      </c>
      <c r="D33" s="130">
        <v>0.015312283396146193</v>
      </c>
      <c r="E33" s="130">
        <v>0.8239087409443188</v>
      </c>
      <c r="F33" s="91" t="s">
        <v>419</v>
      </c>
      <c r="G33" s="91" t="b">
        <v>0</v>
      </c>
      <c r="H33" s="91" t="b">
        <v>0</v>
      </c>
      <c r="I33" s="91" t="b">
        <v>0</v>
      </c>
      <c r="J33" s="91" t="b">
        <v>0</v>
      </c>
      <c r="K33" s="91" t="b">
        <v>0</v>
      </c>
      <c r="L33" s="91" t="b">
        <v>0</v>
      </c>
    </row>
    <row r="34" spans="1:12" ht="15">
      <c r="A34" s="91" t="s">
        <v>460</v>
      </c>
      <c r="B34" s="91" t="s">
        <v>219</v>
      </c>
      <c r="C34" s="91">
        <v>3</v>
      </c>
      <c r="D34" s="130">
        <v>0.007496324196497995</v>
      </c>
      <c r="E34" s="130">
        <v>1.1856365769619117</v>
      </c>
      <c r="F34" s="91" t="s">
        <v>420</v>
      </c>
      <c r="G34" s="91" t="b">
        <v>0</v>
      </c>
      <c r="H34" s="91" t="b">
        <v>0</v>
      </c>
      <c r="I34" s="91" t="b">
        <v>0</v>
      </c>
      <c r="J34" s="91" t="b">
        <v>0</v>
      </c>
      <c r="K34" s="91" t="b">
        <v>0</v>
      </c>
      <c r="L34" s="91" t="b">
        <v>0</v>
      </c>
    </row>
    <row r="35" spans="1:12" ht="15">
      <c r="A35" s="91" t="s">
        <v>219</v>
      </c>
      <c r="B35" s="91" t="s">
        <v>469</v>
      </c>
      <c r="C35" s="91">
        <v>3</v>
      </c>
      <c r="D35" s="130">
        <v>0.007496324196497995</v>
      </c>
      <c r="E35" s="130">
        <v>1.1856365769619117</v>
      </c>
      <c r="F35" s="91" t="s">
        <v>420</v>
      </c>
      <c r="G35" s="91" t="b">
        <v>0</v>
      </c>
      <c r="H35" s="91" t="b">
        <v>0</v>
      </c>
      <c r="I35" s="91" t="b">
        <v>0</v>
      </c>
      <c r="J35" s="91" t="b">
        <v>0</v>
      </c>
      <c r="K35" s="91" t="b">
        <v>0</v>
      </c>
      <c r="L35" s="91" t="b">
        <v>0</v>
      </c>
    </row>
    <row r="36" spans="1:12" ht="15">
      <c r="A36" s="91" t="s">
        <v>469</v>
      </c>
      <c r="B36" s="91" t="s">
        <v>457</v>
      </c>
      <c r="C36" s="91">
        <v>3</v>
      </c>
      <c r="D36" s="130">
        <v>0.007496324196497995</v>
      </c>
      <c r="E36" s="130">
        <v>1.0606978403536116</v>
      </c>
      <c r="F36" s="91" t="s">
        <v>420</v>
      </c>
      <c r="G36" s="91" t="b">
        <v>0</v>
      </c>
      <c r="H36" s="91" t="b">
        <v>0</v>
      </c>
      <c r="I36" s="91" t="b">
        <v>0</v>
      </c>
      <c r="J36" s="91" t="b">
        <v>0</v>
      </c>
      <c r="K36" s="91" t="b">
        <v>0</v>
      </c>
      <c r="L36" s="91" t="b">
        <v>0</v>
      </c>
    </row>
    <row r="37" spans="1:12" ht="15">
      <c r="A37" s="91" t="s">
        <v>457</v>
      </c>
      <c r="B37" s="91" t="s">
        <v>470</v>
      </c>
      <c r="C37" s="91">
        <v>3</v>
      </c>
      <c r="D37" s="130">
        <v>0.007496324196497995</v>
      </c>
      <c r="E37" s="130">
        <v>1.0606978403536116</v>
      </c>
      <c r="F37" s="91" t="s">
        <v>420</v>
      </c>
      <c r="G37" s="91" t="b">
        <v>0</v>
      </c>
      <c r="H37" s="91" t="b">
        <v>0</v>
      </c>
      <c r="I37" s="91" t="b">
        <v>0</v>
      </c>
      <c r="J37" s="91" t="b">
        <v>0</v>
      </c>
      <c r="K37" s="91" t="b">
        <v>0</v>
      </c>
      <c r="L37" s="91" t="b">
        <v>0</v>
      </c>
    </row>
    <row r="38" spans="1:12" ht="15">
      <c r="A38" s="91" t="s">
        <v>470</v>
      </c>
      <c r="B38" s="91" t="s">
        <v>471</v>
      </c>
      <c r="C38" s="91">
        <v>3</v>
      </c>
      <c r="D38" s="130">
        <v>0.007496324196497995</v>
      </c>
      <c r="E38" s="130">
        <v>1.1856365769619117</v>
      </c>
      <c r="F38" s="91" t="s">
        <v>420</v>
      </c>
      <c r="G38" s="91" t="b">
        <v>0</v>
      </c>
      <c r="H38" s="91" t="b">
        <v>0</v>
      </c>
      <c r="I38" s="91" t="b">
        <v>0</v>
      </c>
      <c r="J38" s="91" t="b">
        <v>0</v>
      </c>
      <c r="K38" s="91" t="b">
        <v>0</v>
      </c>
      <c r="L38" s="91" t="b">
        <v>0</v>
      </c>
    </row>
    <row r="39" spans="1:12" ht="15">
      <c r="A39" s="91" t="s">
        <v>471</v>
      </c>
      <c r="B39" s="91" t="s">
        <v>458</v>
      </c>
      <c r="C39" s="91">
        <v>3</v>
      </c>
      <c r="D39" s="130">
        <v>0.007496324196497995</v>
      </c>
      <c r="E39" s="130">
        <v>1.0606978403536116</v>
      </c>
      <c r="F39" s="91" t="s">
        <v>420</v>
      </c>
      <c r="G39" s="91" t="b">
        <v>0</v>
      </c>
      <c r="H39" s="91" t="b">
        <v>0</v>
      </c>
      <c r="I39" s="91" t="b">
        <v>0</v>
      </c>
      <c r="J39" s="91" t="b">
        <v>0</v>
      </c>
      <c r="K39" s="91" t="b">
        <v>0</v>
      </c>
      <c r="L39" s="91" t="b">
        <v>0</v>
      </c>
    </row>
    <row r="40" spans="1:12" ht="15">
      <c r="A40" s="91" t="s">
        <v>458</v>
      </c>
      <c r="B40" s="91" t="s">
        <v>472</v>
      </c>
      <c r="C40" s="91">
        <v>3</v>
      </c>
      <c r="D40" s="130">
        <v>0.007496324196497995</v>
      </c>
      <c r="E40" s="130">
        <v>1.0606978403536116</v>
      </c>
      <c r="F40" s="91" t="s">
        <v>420</v>
      </c>
      <c r="G40" s="91" t="b">
        <v>0</v>
      </c>
      <c r="H40" s="91" t="b">
        <v>0</v>
      </c>
      <c r="I40" s="91" t="b">
        <v>0</v>
      </c>
      <c r="J40" s="91" t="b">
        <v>1</v>
      </c>
      <c r="K40" s="91" t="b">
        <v>0</v>
      </c>
      <c r="L40" s="91" t="b">
        <v>0</v>
      </c>
    </row>
    <row r="41" spans="1:12" ht="15">
      <c r="A41" s="91" t="s">
        <v>472</v>
      </c>
      <c r="B41" s="91" t="s">
        <v>473</v>
      </c>
      <c r="C41" s="91">
        <v>3</v>
      </c>
      <c r="D41" s="130">
        <v>0.007496324196497995</v>
      </c>
      <c r="E41" s="130">
        <v>1.1856365769619117</v>
      </c>
      <c r="F41" s="91" t="s">
        <v>420</v>
      </c>
      <c r="G41" s="91" t="b">
        <v>1</v>
      </c>
      <c r="H41" s="91" t="b">
        <v>0</v>
      </c>
      <c r="I41" s="91" t="b">
        <v>0</v>
      </c>
      <c r="J41" s="91" t="b">
        <v>0</v>
      </c>
      <c r="K41" s="91" t="b">
        <v>0</v>
      </c>
      <c r="L41" s="91" t="b">
        <v>0</v>
      </c>
    </row>
    <row r="42" spans="1:12" ht="15">
      <c r="A42" s="91" t="s">
        <v>473</v>
      </c>
      <c r="B42" s="91" t="s">
        <v>561</v>
      </c>
      <c r="C42" s="91">
        <v>3</v>
      </c>
      <c r="D42" s="130">
        <v>0.007496324196497995</v>
      </c>
      <c r="E42" s="130">
        <v>1.1856365769619117</v>
      </c>
      <c r="F42" s="91" t="s">
        <v>420</v>
      </c>
      <c r="G42" s="91" t="b">
        <v>0</v>
      </c>
      <c r="H42" s="91" t="b">
        <v>0</v>
      </c>
      <c r="I42" s="91" t="b">
        <v>0</v>
      </c>
      <c r="J42" s="91" t="b">
        <v>0</v>
      </c>
      <c r="K42" s="91" t="b">
        <v>0</v>
      </c>
      <c r="L42" s="91" t="b">
        <v>0</v>
      </c>
    </row>
    <row r="43" spans="1:12" ht="15">
      <c r="A43" s="91" t="s">
        <v>218</v>
      </c>
      <c r="B43" s="91" t="s">
        <v>460</v>
      </c>
      <c r="C43" s="91">
        <v>2</v>
      </c>
      <c r="D43" s="130">
        <v>0.012041199826559249</v>
      </c>
      <c r="E43" s="130">
        <v>1.1856365769619117</v>
      </c>
      <c r="F43" s="91" t="s">
        <v>420</v>
      </c>
      <c r="G43" s="91" t="b">
        <v>0</v>
      </c>
      <c r="H43" s="91" t="b">
        <v>0</v>
      </c>
      <c r="I43" s="91" t="b">
        <v>0</v>
      </c>
      <c r="J43" s="91" t="b">
        <v>0</v>
      </c>
      <c r="K43" s="91" t="b">
        <v>0</v>
      </c>
      <c r="L43" s="91" t="b">
        <v>0</v>
      </c>
    </row>
    <row r="44" spans="1:12" ht="15">
      <c r="A44" s="91" t="s">
        <v>561</v>
      </c>
      <c r="B44" s="91" t="s">
        <v>562</v>
      </c>
      <c r="C44" s="91">
        <v>2</v>
      </c>
      <c r="D44" s="130">
        <v>0.012041199826559249</v>
      </c>
      <c r="E44" s="130">
        <v>1.3617278360175928</v>
      </c>
      <c r="F44" s="91" t="s">
        <v>420</v>
      </c>
      <c r="G44" s="91" t="b">
        <v>0</v>
      </c>
      <c r="H44" s="91" t="b">
        <v>0</v>
      </c>
      <c r="I44" s="91" t="b">
        <v>0</v>
      </c>
      <c r="J44" s="91" t="b">
        <v>0</v>
      </c>
      <c r="K44" s="91" t="b">
        <v>0</v>
      </c>
      <c r="L44" s="91" t="b">
        <v>0</v>
      </c>
    </row>
    <row r="45" spans="1:12" ht="15">
      <c r="A45" s="91" t="s">
        <v>562</v>
      </c>
      <c r="B45" s="91" t="s">
        <v>563</v>
      </c>
      <c r="C45" s="91">
        <v>2</v>
      </c>
      <c r="D45" s="130">
        <v>0.012041199826559249</v>
      </c>
      <c r="E45" s="130">
        <v>1.3617278360175928</v>
      </c>
      <c r="F45" s="91" t="s">
        <v>420</v>
      </c>
      <c r="G45" s="91" t="b">
        <v>0</v>
      </c>
      <c r="H45" s="91" t="b">
        <v>0</v>
      </c>
      <c r="I45" s="91" t="b">
        <v>0</v>
      </c>
      <c r="J45" s="91" t="b">
        <v>0</v>
      </c>
      <c r="K45" s="91" t="b">
        <v>0</v>
      </c>
      <c r="L45" s="91" t="b">
        <v>0</v>
      </c>
    </row>
    <row r="46" spans="1:12" ht="15">
      <c r="A46" s="91" t="s">
        <v>475</v>
      </c>
      <c r="B46" s="91" t="s">
        <v>476</v>
      </c>
      <c r="C46" s="91">
        <v>2</v>
      </c>
      <c r="D46" s="130">
        <v>0</v>
      </c>
      <c r="E46" s="130">
        <v>0.8129133566428556</v>
      </c>
      <c r="F46" s="91" t="s">
        <v>421</v>
      </c>
      <c r="G46" s="91" t="b">
        <v>0</v>
      </c>
      <c r="H46" s="91" t="b">
        <v>0</v>
      </c>
      <c r="I46" s="91" t="b">
        <v>0</v>
      </c>
      <c r="J46" s="91" t="b">
        <v>0</v>
      </c>
      <c r="K46" s="91" t="b">
        <v>0</v>
      </c>
      <c r="L46" s="91" t="b">
        <v>0</v>
      </c>
    </row>
    <row r="47" spans="1:12" ht="15">
      <c r="A47" s="91" t="s">
        <v>476</v>
      </c>
      <c r="B47" s="91" t="s">
        <v>477</v>
      </c>
      <c r="C47" s="91">
        <v>2</v>
      </c>
      <c r="D47" s="130">
        <v>0</v>
      </c>
      <c r="E47" s="130">
        <v>0.8129133566428556</v>
      </c>
      <c r="F47" s="91" t="s">
        <v>421</v>
      </c>
      <c r="G47" s="91" t="b">
        <v>0</v>
      </c>
      <c r="H47" s="91" t="b">
        <v>0</v>
      </c>
      <c r="I47" s="91" t="b">
        <v>0</v>
      </c>
      <c r="J47" s="91" t="b">
        <v>0</v>
      </c>
      <c r="K47" s="91" t="b">
        <v>0</v>
      </c>
      <c r="L47" s="91" t="b">
        <v>0</v>
      </c>
    </row>
    <row r="48" spans="1:12" ht="15">
      <c r="A48" s="91" t="s">
        <v>477</v>
      </c>
      <c r="B48" s="91" t="s">
        <v>478</v>
      </c>
      <c r="C48" s="91">
        <v>2</v>
      </c>
      <c r="D48" s="130">
        <v>0</v>
      </c>
      <c r="E48" s="130">
        <v>0.8129133566428556</v>
      </c>
      <c r="F48" s="91" t="s">
        <v>421</v>
      </c>
      <c r="G48" s="91" t="b">
        <v>0</v>
      </c>
      <c r="H48" s="91" t="b">
        <v>0</v>
      </c>
      <c r="I48" s="91" t="b">
        <v>0</v>
      </c>
      <c r="J48" s="91" t="b">
        <v>0</v>
      </c>
      <c r="K48" s="91" t="b">
        <v>0</v>
      </c>
      <c r="L48" s="91" t="b">
        <v>0</v>
      </c>
    </row>
    <row r="49" spans="1:12" ht="15">
      <c r="A49" s="91" t="s">
        <v>478</v>
      </c>
      <c r="B49" s="91" t="s">
        <v>479</v>
      </c>
      <c r="C49" s="91">
        <v>2</v>
      </c>
      <c r="D49" s="130">
        <v>0</v>
      </c>
      <c r="E49" s="130">
        <v>0.8129133566428556</v>
      </c>
      <c r="F49" s="91" t="s">
        <v>421</v>
      </c>
      <c r="G49" s="91" t="b">
        <v>0</v>
      </c>
      <c r="H49" s="91" t="b">
        <v>0</v>
      </c>
      <c r="I49" s="91" t="b">
        <v>0</v>
      </c>
      <c r="J49" s="91" t="b">
        <v>0</v>
      </c>
      <c r="K49" s="91" t="b">
        <v>0</v>
      </c>
      <c r="L49" s="91" t="b">
        <v>0</v>
      </c>
    </row>
    <row r="50" spans="1:12" ht="15">
      <c r="A50" s="91" t="s">
        <v>479</v>
      </c>
      <c r="B50" s="91" t="s">
        <v>480</v>
      </c>
      <c r="C50" s="91">
        <v>2</v>
      </c>
      <c r="D50" s="130">
        <v>0</v>
      </c>
      <c r="E50" s="130">
        <v>0.8129133566428556</v>
      </c>
      <c r="F50" s="91" t="s">
        <v>421</v>
      </c>
      <c r="G50" s="91" t="b">
        <v>0</v>
      </c>
      <c r="H50" s="91" t="b">
        <v>0</v>
      </c>
      <c r="I50" s="91" t="b">
        <v>0</v>
      </c>
      <c r="J50" s="91" t="b">
        <v>0</v>
      </c>
      <c r="K50" s="91" t="b">
        <v>0</v>
      </c>
      <c r="L50" s="91" t="b">
        <v>0</v>
      </c>
    </row>
    <row r="51" spans="1:12" ht="15">
      <c r="A51" s="91" t="s">
        <v>480</v>
      </c>
      <c r="B51" s="91" t="s">
        <v>457</v>
      </c>
      <c r="C51" s="91">
        <v>2</v>
      </c>
      <c r="D51" s="130">
        <v>0</v>
      </c>
      <c r="E51" s="130">
        <v>0.8129133566428556</v>
      </c>
      <c r="F51" s="91" t="s">
        <v>421</v>
      </c>
      <c r="G51" s="91" t="b">
        <v>0</v>
      </c>
      <c r="H51" s="91" t="b">
        <v>0</v>
      </c>
      <c r="I51" s="91" t="b">
        <v>0</v>
      </c>
      <c r="J51" s="91" t="b">
        <v>0</v>
      </c>
      <c r="K51" s="91" t="b">
        <v>0</v>
      </c>
      <c r="L51"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590</v>
      </c>
      <c r="B2" s="133" t="s">
        <v>591</v>
      </c>
      <c r="C2" s="67" t="s">
        <v>592</v>
      </c>
    </row>
    <row r="3" spans="1:3" ht="15">
      <c r="A3" s="132" t="s">
        <v>419</v>
      </c>
      <c r="B3" s="132" t="s">
        <v>419</v>
      </c>
      <c r="C3" s="36">
        <v>5</v>
      </c>
    </row>
    <row r="4" spans="1:3" ht="15">
      <c r="A4" s="132" t="s">
        <v>420</v>
      </c>
      <c r="B4" s="132" t="s">
        <v>420</v>
      </c>
      <c r="C4" s="36">
        <v>6</v>
      </c>
    </row>
    <row r="5" spans="1:3" ht="15">
      <c r="A5" s="132" t="s">
        <v>421</v>
      </c>
      <c r="B5" s="132" t="s">
        <v>421</v>
      </c>
      <c r="C5"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607</v>
      </c>
      <c r="B1" s="13" t="s">
        <v>17</v>
      </c>
    </row>
    <row r="2" spans="1:2" ht="15">
      <c r="A2" s="85" t="s">
        <v>608</v>
      </c>
      <c r="B2" s="85" t="s">
        <v>614</v>
      </c>
    </row>
    <row r="3" spans="1:2" ht="15">
      <c r="A3" s="85" t="s">
        <v>609</v>
      </c>
      <c r="B3" s="85" t="s">
        <v>615</v>
      </c>
    </row>
    <row r="4" spans="1:2" ht="15">
      <c r="A4" s="85" t="s">
        <v>610</v>
      </c>
      <c r="B4" s="85" t="s">
        <v>616</v>
      </c>
    </row>
    <row r="5" spans="1:2" ht="15">
      <c r="A5" s="85" t="s">
        <v>611</v>
      </c>
      <c r="B5" s="85" t="s">
        <v>617</v>
      </c>
    </row>
    <row r="6" spans="1:2" ht="15">
      <c r="A6" s="85" t="s">
        <v>612</v>
      </c>
      <c r="B6" s="85" t="s">
        <v>618</v>
      </c>
    </row>
    <row r="7" spans="1:2" ht="15">
      <c r="A7" s="85" t="s">
        <v>613</v>
      </c>
      <c r="B7" s="85" t="s">
        <v>615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418</v>
      </c>
      <c r="BB2" s="13" t="s">
        <v>426</v>
      </c>
      <c r="BC2" s="13" t="s">
        <v>427</v>
      </c>
      <c r="BD2" s="67" t="s">
        <v>579</v>
      </c>
      <c r="BE2" s="67" t="s">
        <v>580</v>
      </c>
      <c r="BF2" s="67" t="s">
        <v>581</v>
      </c>
      <c r="BG2" s="67" t="s">
        <v>582</v>
      </c>
      <c r="BH2" s="67" t="s">
        <v>583</v>
      </c>
      <c r="BI2" s="67" t="s">
        <v>584</v>
      </c>
      <c r="BJ2" s="67" t="s">
        <v>585</v>
      </c>
      <c r="BK2" s="67" t="s">
        <v>586</v>
      </c>
      <c r="BL2" s="67" t="s">
        <v>587</v>
      </c>
    </row>
    <row r="3" spans="1:64" ht="15" customHeight="1">
      <c r="A3" s="84" t="s">
        <v>212</v>
      </c>
      <c r="B3" s="84" t="s">
        <v>212</v>
      </c>
      <c r="C3" s="53"/>
      <c r="D3" s="54"/>
      <c r="E3" s="65"/>
      <c r="F3" s="55"/>
      <c r="G3" s="53"/>
      <c r="H3" s="57"/>
      <c r="I3" s="56"/>
      <c r="J3" s="56"/>
      <c r="K3" s="36" t="s">
        <v>65</v>
      </c>
      <c r="L3" s="62">
        <v>3</v>
      </c>
      <c r="M3" s="62"/>
      <c r="N3" s="63"/>
      <c r="O3" s="85" t="s">
        <v>176</v>
      </c>
      <c r="P3" s="87">
        <v>42199.59405092592</v>
      </c>
      <c r="Q3" s="85" t="s">
        <v>225</v>
      </c>
      <c r="R3" s="85"/>
      <c r="S3" s="85"/>
      <c r="T3" s="85" t="s">
        <v>236</v>
      </c>
      <c r="U3" s="90" t="s">
        <v>240</v>
      </c>
      <c r="V3" s="90" t="s">
        <v>240</v>
      </c>
      <c r="W3" s="87">
        <v>42199.59405092592</v>
      </c>
      <c r="X3" s="90" t="s">
        <v>248</v>
      </c>
      <c r="Y3" s="85"/>
      <c r="Z3" s="85"/>
      <c r="AA3" s="91" t="s">
        <v>257</v>
      </c>
      <c r="AB3" s="85"/>
      <c r="AC3" s="85" t="b">
        <v>0</v>
      </c>
      <c r="AD3" s="85">
        <v>5</v>
      </c>
      <c r="AE3" s="91" t="s">
        <v>267</v>
      </c>
      <c r="AF3" s="85" t="b">
        <v>0</v>
      </c>
      <c r="AG3" s="85" t="s">
        <v>270</v>
      </c>
      <c r="AH3" s="85"/>
      <c r="AI3" s="91" t="s">
        <v>267</v>
      </c>
      <c r="AJ3" s="85" t="b">
        <v>0</v>
      </c>
      <c r="AK3" s="85">
        <v>1</v>
      </c>
      <c r="AL3" s="91" t="s">
        <v>267</v>
      </c>
      <c r="AM3" s="85" t="s">
        <v>271</v>
      </c>
      <c r="AN3" s="85" t="b">
        <v>0</v>
      </c>
      <c r="AO3" s="91" t="s">
        <v>257</v>
      </c>
      <c r="AP3" s="85" t="s">
        <v>275</v>
      </c>
      <c r="AQ3" s="85">
        <v>0</v>
      </c>
      <c r="AR3" s="85">
        <v>0</v>
      </c>
      <c r="AS3" s="85"/>
      <c r="AT3" s="85"/>
      <c r="AU3" s="85"/>
      <c r="AV3" s="85"/>
      <c r="AW3" s="85"/>
      <c r="AX3" s="85"/>
      <c r="AY3" s="85"/>
      <c r="AZ3" s="85"/>
      <c r="BA3">
        <v>1</v>
      </c>
      <c r="BB3" s="85" t="str">
        <f>REPLACE(INDEX(GroupVertices[Group],MATCH(Edges25[[#This Row],[Vertex 1]],GroupVertices[Vertex],0)),1,1,"")</f>
        <v>3</v>
      </c>
      <c r="BC3" s="85" t="str">
        <f>REPLACE(INDEX(GroupVertices[Group],MATCH(Edges25[[#This Row],[Vertex 2]],GroupVertices[Vertex],0)),1,1,"")</f>
        <v>3</v>
      </c>
      <c r="BD3" s="51">
        <v>0</v>
      </c>
      <c r="BE3" s="52">
        <v>0</v>
      </c>
      <c r="BF3" s="51">
        <v>0</v>
      </c>
      <c r="BG3" s="52">
        <v>0</v>
      </c>
      <c r="BH3" s="51">
        <v>0</v>
      </c>
      <c r="BI3" s="52">
        <v>0</v>
      </c>
      <c r="BJ3" s="51">
        <v>11</v>
      </c>
      <c r="BK3" s="52">
        <v>100</v>
      </c>
      <c r="BL3" s="51">
        <v>11</v>
      </c>
    </row>
    <row r="4" spans="1:64" ht="15" customHeight="1">
      <c r="A4" s="84" t="s">
        <v>213</v>
      </c>
      <c r="B4" s="84" t="s">
        <v>212</v>
      </c>
      <c r="C4" s="53"/>
      <c r="D4" s="54"/>
      <c r="E4" s="65"/>
      <c r="F4" s="55"/>
      <c r="G4" s="53"/>
      <c r="H4" s="57"/>
      <c r="I4" s="56"/>
      <c r="J4" s="56"/>
      <c r="K4" s="36" t="s">
        <v>65</v>
      </c>
      <c r="L4" s="83">
        <v>4</v>
      </c>
      <c r="M4" s="83"/>
      <c r="N4" s="63"/>
      <c r="O4" s="86" t="s">
        <v>223</v>
      </c>
      <c r="P4" s="88">
        <v>43740.091099537036</v>
      </c>
      <c r="Q4" s="86" t="s">
        <v>226</v>
      </c>
      <c r="R4" s="86"/>
      <c r="S4" s="86"/>
      <c r="T4" s="86" t="s">
        <v>236</v>
      </c>
      <c r="U4" s="89" t="s">
        <v>240</v>
      </c>
      <c r="V4" s="89" t="s">
        <v>240</v>
      </c>
      <c r="W4" s="88">
        <v>43740.091099537036</v>
      </c>
      <c r="X4" s="89" t="s">
        <v>249</v>
      </c>
      <c r="Y4" s="86"/>
      <c r="Z4" s="86"/>
      <c r="AA4" s="92" t="s">
        <v>258</v>
      </c>
      <c r="AB4" s="86"/>
      <c r="AC4" s="86" t="b">
        <v>0</v>
      </c>
      <c r="AD4" s="86">
        <v>0</v>
      </c>
      <c r="AE4" s="92" t="s">
        <v>267</v>
      </c>
      <c r="AF4" s="86" t="b">
        <v>0</v>
      </c>
      <c r="AG4" s="86" t="s">
        <v>270</v>
      </c>
      <c r="AH4" s="86"/>
      <c r="AI4" s="92" t="s">
        <v>267</v>
      </c>
      <c r="AJ4" s="86" t="b">
        <v>0</v>
      </c>
      <c r="AK4" s="86">
        <v>1</v>
      </c>
      <c r="AL4" s="92" t="s">
        <v>257</v>
      </c>
      <c r="AM4" s="86" t="s">
        <v>272</v>
      </c>
      <c r="AN4" s="86" t="b">
        <v>0</v>
      </c>
      <c r="AO4" s="92" t="s">
        <v>257</v>
      </c>
      <c r="AP4" s="86" t="s">
        <v>176</v>
      </c>
      <c r="AQ4" s="86">
        <v>0</v>
      </c>
      <c r="AR4" s="86">
        <v>0</v>
      </c>
      <c r="AS4" s="86"/>
      <c r="AT4" s="86"/>
      <c r="AU4" s="86"/>
      <c r="AV4" s="86"/>
      <c r="AW4" s="86"/>
      <c r="AX4" s="86"/>
      <c r="AY4" s="86"/>
      <c r="AZ4" s="86"/>
      <c r="BA4">
        <v>1</v>
      </c>
      <c r="BB4" s="85" t="str">
        <f>REPLACE(INDEX(GroupVertices[Group],MATCH(Edges25[[#This Row],[Vertex 1]],GroupVertices[Vertex],0)),1,1,"")</f>
        <v>3</v>
      </c>
      <c r="BC4" s="85" t="str">
        <f>REPLACE(INDEX(GroupVertices[Group],MATCH(Edges25[[#This Row],[Vertex 2]],GroupVertices[Vertex],0)),1,1,"")</f>
        <v>3</v>
      </c>
      <c r="BD4" s="51">
        <v>0</v>
      </c>
      <c r="BE4" s="52">
        <v>0</v>
      </c>
      <c r="BF4" s="51">
        <v>0</v>
      </c>
      <c r="BG4" s="52">
        <v>0</v>
      </c>
      <c r="BH4" s="51">
        <v>0</v>
      </c>
      <c r="BI4" s="52">
        <v>0</v>
      </c>
      <c r="BJ4" s="51">
        <v>13</v>
      </c>
      <c r="BK4" s="52">
        <v>100</v>
      </c>
      <c r="BL4" s="51">
        <v>13</v>
      </c>
    </row>
    <row r="5" spans="1:64" ht="15">
      <c r="A5" s="84" t="s">
        <v>214</v>
      </c>
      <c r="B5" s="84" t="s">
        <v>219</v>
      </c>
      <c r="C5" s="53"/>
      <c r="D5" s="54"/>
      <c r="E5" s="65"/>
      <c r="F5" s="55"/>
      <c r="G5" s="53"/>
      <c r="H5" s="57"/>
      <c r="I5" s="56"/>
      <c r="J5" s="56"/>
      <c r="K5" s="36" t="s">
        <v>65</v>
      </c>
      <c r="L5" s="83">
        <v>5</v>
      </c>
      <c r="M5" s="83"/>
      <c r="N5" s="63"/>
      <c r="O5" s="86" t="s">
        <v>223</v>
      </c>
      <c r="P5" s="88">
        <v>43741.49872685185</v>
      </c>
      <c r="Q5" s="86" t="s">
        <v>227</v>
      </c>
      <c r="R5" s="86"/>
      <c r="S5" s="86"/>
      <c r="T5" s="86" t="s">
        <v>237</v>
      </c>
      <c r="U5" s="86"/>
      <c r="V5" s="89" t="s">
        <v>243</v>
      </c>
      <c r="W5" s="88">
        <v>43741.49872685185</v>
      </c>
      <c r="X5" s="89" t="s">
        <v>250</v>
      </c>
      <c r="Y5" s="86"/>
      <c r="Z5" s="86"/>
      <c r="AA5" s="92" t="s">
        <v>259</v>
      </c>
      <c r="AB5" s="86"/>
      <c r="AC5" s="86" t="b">
        <v>0</v>
      </c>
      <c r="AD5" s="86">
        <v>0</v>
      </c>
      <c r="AE5" s="92" t="s">
        <v>267</v>
      </c>
      <c r="AF5" s="86" t="b">
        <v>0</v>
      </c>
      <c r="AG5" s="86" t="s">
        <v>270</v>
      </c>
      <c r="AH5" s="86"/>
      <c r="AI5" s="92" t="s">
        <v>267</v>
      </c>
      <c r="AJ5" s="86" t="b">
        <v>0</v>
      </c>
      <c r="AK5" s="86">
        <v>2</v>
      </c>
      <c r="AL5" s="92" t="s">
        <v>264</v>
      </c>
      <c r="AM5" s="86" t="s">
        <v>273</v>
      </c>
      <c r="AN5" s="86" t="b">
        <v>0</v>
      </c>
      <c r="AO5" s="92" t="s">
        <v>264</v>
      </c>
      <c r="AP5" s="86" t="s">
        <v>176</v>
      </c>
      <c r="AQ5" s="86">
        <v>0</v>
      </c>
      <c r="AR5" s="86">
        <v>0</v>
      </c>
      <c r="AS5" s="86"/>
      <c r="AT5" s="86"/>
      <c r="AU5" s="86"/>
      <c r="AV5" s="86"/>
      <c r="AW5" s="86"/>
      <c r="AX5" s="86"/>
      <c r="AY5" s="86"/>
      <c r="AZ5" s="86"/>
      <c r="BA5">
        <v>1</v>
      </c>
      <c r="BB5" s="85" t="str">
        <f>REPLACE(INDEX(GroupVertices[Group],MATCH(Edges25[[#This Row],[Vertex 1]],GroupVertices[Vertex],0)),1,1,"")</f>
        <v>2</v>
      </c>
      <c r="BC5" s="85" t="str">
        <f>REPLACE(INDEX(GroupVertices[Group],MATCH(Edges25[[#This Row],[Vertex 2]],GroupVertices[Vertex],0)),1,1,"")</f>
        <v>2</v>
      </c>
      <c r="BD5" s="51"/>
      <c r="BE5" s="52"/>
      <c r="BF5" s="51"/>
      <c r="BG5" s="52"/>
      <c r="BH5" s="51"/>
      <c r="BI5" s="52"/>
      <c r="BJ5" s="51"/>
      <c r="BK5" s="52"/>
      <c r="BL5" s="51"/>
    </row>
    <row r="6" spans="1:64" ht="15">
      <c r="A6" s="84" t="s">
        <v>214</v>
      </c>
      <c r="B6" s="84" t="s">
        <v>218</v>
      </c>
      <c r="C6" s="53"/>
      <c r="D6" s="54"/>
      <c r="E6" s="65"/>
      <c r="F6" s="55"/>
      <c r="G6" s="53"/>
      <c r="H6" s="57"/>
      <c r="I6" s="56"/>
      <c r="J6" s="56"/>
      <c r="K6" s="36" t="s">
        <v>65</v>
      </c>
      <c r="L6" s="83">
        <v>6</v>
      </c>
      <c r="M6" s="83"/>
      <c r="N6" s="63"/>
      <c r="O6" s="86" t="s">
        <v>223</v>
      </c>
      <c r="P6" s="88">
        <v>43741.49872685185</v>
      </c>
      <c r="Q6" s="86" t="s">
        <v>227</v>
      </c>
      <c r="R6" s="86"/>
      <c r="S6" s="86"/>
      <c r="T6" s="86" t="s">
        <v>237</v>
      </c>
      <c r="U6" s="86"/>
      <c r="V6" s="89" t="s">
        <v>243</v>
      </c>
      <c r="W6" s="88">
        <v>43741.49872685185</v>
      </c>
      <c r="X6" s="89" t="s">
        <v>250</v>
      </c>
      <c r="Y6" s="86"/>
      <c r="Z6" s="86"/>
      <c r="AA6" s="92" t="s">
        <v>259</v>
      </c>
      <c r="AB6" s="86"/>
      <c r="AC6" s="86" t="b">
        <v>0</v>
      </c>
      <c r="AD6" s="86">
        <v>0</v>
      </c>
      <c r="AE6" s="92" t="s">
        <v>267</v>
      </c>
      <c r="AF6" s="86" t="b">
        <v>0</v>
      </c>
      <c r="AG6" s="86" t="s">
        <v>270</v>
      </c>
      <c r="AH6" s="86"/>
      <c r="AI6" s="92" t="s">
        <v>267</v>
      </c>
      <c r="AJ6" s="86" t="b">
        <v>0</v>
      </c>
      <c r="AK6" s="86">
        <v>2</v>
      </c>
      <c r="AL6" s="92" t="s">
        <v>264</v>
      </c>
      <c r="AM6" s="86" t="s">
        <v>273</v>
      </c>
      <c r="AN6" s="86" t="b">
        <v>0</v>
      </c>
      <c r="AO6" s="92" t="s">
        <v>264</v>
      </c>
      <c r="AP6" s="86" t="s">
        <v>176</v>
      </c>
      <c r="AQ6" s="86">
        <v>0</v>
      </c>
      <c r="AR6" s="86">
        <v>0</v>
      </c>
      <c r="AS6" s="86"/>
      <c r="AT6" s="86"/>
      <c r="AU6" s="86"/>
      <c r="AV6" s="86"/>
      <c r="AW6" s="86"/>
      <c r="AX6" s="86"/>
      <c r="AY6" s="86"/>
      <c r="AZ6" s="86"/>
      <c r="BA6">
        <v>1</v>
      </c>
      <c r="BB6" s="85" t="str">
        <f>REPLACE(INDEX(GroupVertices[Group],MATCH(Edges25[[#This Row],[Vertex 1]],GroupVertices[Vertex],0)),1,1,"")</f>
        <v>2</v>
      </c>
      <c r="BC6" s="85" t="str">
        <f>REPLACE(INDEX(GroupVertices[Group],MATCH(Edges25[[#This Row],[Vertex 2]],GroupVertices[Vertex],0)),1,1,"")</f>
        <v>2</v>
      </c>
      <c r="BD6" s="51">
        <v>1</v>
      </c>
      <c r="BE6" s="52">
        <v>4.545454545454546</v>
      </c>
      <c r="BF6" s="51">
        <v>0</v>
      </c>
      <c r="BG6" s="52">
        <v>0</v>
      </c>
      <c r="BH6" s="51">
        <v>0</v>
      </c>
      <c r="BI6" s="52">
        <v>0</v>
      </c>
      <c r="BJ6" s="51">
        <v>21</v>
      </c>
      <c r="BK6" s="52">
        <v>95.45454545454545</v>
      </c>
      <c r="BL6" s="51">
        <v>22</v>
      </c>
    </row>
    <row r="7" spans="1:64" ht="15">
      <c r="A7" s="84" t="s">
        <v>215</v>
      </c>
      <c r="B7" s="84" t="s">
        <v>219</v>
      </c>
      <c r="C7" s="53"/>
      <c r="D7" s="54"/>
      <c r="E7" s="65"/>
      <c r="F7" s="55"/>
      <c r="G7" s="53"/>
      <c r="H7" s="57"/>
      <c r="I7" s="56"/>
      <c r="J7" s="56"/>
      <c r="K7" s="36" t="s">
        <v>65</v>
      </c>
      <c r="L7" s="83">
        <v>7</v>
      </c>
      <c r="M7" s="83"/>
      <c r="N7" s="63"/>
      <c r="O7" s="86" t="s">
        <v>223</v>
      </c>
      <c r="P7" s="88">
        <v>43741.51699074074</v>
      </c>
      <c r="Q7" s="86" t="s">
        <v>227</v>
      </c>
      <c r="R7" s="86"/>
      <c r="S7" s="86"/>
      <c r="T7" s="86" t="s">
        <v>237</v>
      </c>
      <c r="U7" s="86"/>
      <c r="V7" s="89" t="s">
        <v>244</v>
      </c>
      <c r="W7" s="88">
        <v>43741.51699074074</v>
      </c>
      <c r="X7" s="89" t="s">
        <v>251</v>
      </c>
      <c r="Y7" s="86"/>
      <c r="Z7" s="86"/>
      <c r="AA7" s="92" t="s">
        <v>260</v>
      </c>
      <c r="AB7" s="86"/>
      <c r="AC7" s="86" t="b">
        <v>0</v>
      </c>
      <c r="AD7" s="86">
        <v>0</v>
      </c>
      <c r="AE7" s="92" t="s">
        <v>267</v>
      </c>
      <c r="AF7" s="86" t="b">
        <v>0</v>
      </c>
      <c r="AG7" s="86" t="s">
        <v>270</v>
      </c>
      <c r="AH7" s="86"/>
      <c r="AI7" s="92" t="s">
        <v>267</v>
      </c>
      <c r="AJ7" s="86" t="b">
        <v>0</v>
      </c>
      <c r="AK7" s="86">
        <v>2</v>
      </c>
      <c r="AL7" s="92" t="s">
        <v>264</v>
      </c>
      <c r="AM7" s="86" t="s">
        <v>274</v>
      </c>
      <c r="AN7" s="86" t="b">
        <v>0</v>
      </c>
      <c r="AO7" s="92" t="s">
        <v>264</v>
      </c>
      <c r="AP7" s="86" t="s">
        <v>176</v>
      </c>
      <c r="AQ7" s="86">
        <v>0</v>
      </c>
      <c r="AR7" s="86">
        <v>0</v>
      </c>
      <c r="AS7" s="86"/>
      <c r="AT7" s="86"/>
      <c r="AU7" s="86"/>
      <c r="AV7" s="86"/>
      <c r="AW7" s="86"/>
      <c r="AX7" s="86"/>
      <c r="AY7" s="86"/>
      <c r="AZ7" s="86"/>
      <c r="BA7">
        <v>1</v>
      </c>
      <c r="BB7" s="85" t="str">
        <f>REPLACE(INDEX(GroupVertices[Group],MATCH(Edges25[[#This Row],[Vertex 1]],GroupVertices[Vertex],0)),1,1,"")</f>
        <v>2</v>
      </c>
      <c r="BC7" s="85" t="str">
        <f>REPLACE(INDEX(GroupVertices[Group],MATCH(Edges25[[#This Row],[Vertex 2]],GroupVertices[Vertex],0)),1,1,"")</f>
        <v>2</v>
      </c>
      <c r="BD7" s="51"/>
      <c r="BE7" s="52"/>
      <c r="BF7" s="51"/>
      <c r="BG7" s="52"/>
      <c r="BH7" s="51"/>
      <c r="BI7" s="52"/>
      <c r="BJ7" s="51"/>
      <c r="BK7" s="52"/>
      <c r="BL7" s="51"/>
    </row>
    <row r="8" spans="1:64" ht="15">
      <c r="A8" s="84" t="s">
        <v>215</v>
      </c>
      <c r="B8" s="84" t="s">
        <v>218</v>
      </c>
      <c r="C8" s="53"/>
      <c r="D8" s="54"/>
      <c r="E8" s="65"/>
      <c r="F8" s="55"/>
      <c r="G8" s="53"/>
      <c r="H8" s="57"/>
      <c r="I8" s="56"/>
      <c r="J8" s="56"/>
      <c r="K8" s="36" t="s">
        <v>65</v>
      </c>
      <c r="L8" s="83">
        <v>8</v>
      </c>
      <c r="M8" s="83"/>
      <c r="N8" s="63"/>
      <c r="O8" s="86" t="s">
        <v>223</v>
      </c>
      <c r="P8" s="88">
        <v>43741.51699074074</v>
      </c>
      <c r="Q8" s="86" t="s">
        <v>227</v>
      </c>
      <c r="R8" s="86"/>
      <c r="S8" s="86"/>
      <c r="T8" s="86" t="s">
        <v>237</v>
      </c>
      <c r="U8" s="86"/>
      <c r="V8" s="89" t="s">
        <v>244</v>
      </c>
      <c r="W8" s="88">
        <v>43741.51699074074</v>
      </c>
      <c r="X8" s="89" t="s">
        <v>251</v>
      </c>
      <c r="Y8" s="86"/>
      <c r="Z8" s="86"/>
      <c r="AA8" s="92" t="s">
        <v>260</v>
      </c>
      <c r="AB8" s="86"/>
      <c r="AC8" s="86" t="b">
        <v>0</v>
      </c>
      <c r="AD8" s="86">
        <v>0</v>
      </c>
      <c r="AE8" s="92" t="s">
        <v>267</v>
      </c>
      <c r="AF8" s="86" t="b">
        <v>0</v>
      </c>
      <c r="AG8" s="86" t="s">
        <v>270</v>
      </c>
      <c r="AH8" s="86"/>
      <c r="AI8" s="92" t="s">
        <v>267</v>
      </c>
      <c r="AJ8" s="86" t="b">
        <v>0</v>
      </c>
      <c r="AK8" s="86">
        <v>2</v>
      </c>
      <c r="AL8" s="92" t="s">
        <v>264</v>
      </c>
      <c r="AM8" s="86" t="s">
        <v>274</v>
      </c>
      <c r="AN8" s="86" t="b">
        <v>0</v>
      </c>
      <c r="AO8" s="92" t="s">
        <v>264</v>
      </c>
      <c r="AP8" s="86" t="s">
        <v>176</v>
      </c>
      <c r="AQ8" s="86">
        <v>0</v>
      </c>
      <c r="AR8" s="86">
        <v>0</v>
      </c>
      <c r="AS8" s="86"/>
      <c r="AT8" s="86"/>
      <c r="AU8" s="86"/>
      <c r="AV8" s="86"/>
      <c r="AW8" s="86"/>
      <c r="AX8" s="86"/>
      <c r="AY8" s="86"/>
      <c r="AZ8" s="86"/>
      <c r="BA8">
        <v>1</v>
      </c>
      <c r="BB8" s="85" t="str">
        <f>REPLACE(INDEX(GroupVertices[Group],MATCH(Edges25[[#This Row],[Vertex 1]],GroupVertices[Vertex],0)),1,1,"")</f>
        <v>2</v>
      </c>
      <c r="BC8" s="85" t="str">
        <f>REPLACE(INDEX(GroupVertices[Group],MATCH(Edges25[[#This Row],[Vertex 2]],GroupVertices[Vertex],0)),1,1,"")</f>
        <v>2</v>
      </c>
      <c r="BD8" s="51">
        <v>1</v>
      </c>
      <c r="BE8" s="52">
        <v>4.545454545454546</v>
      </c>
      <c r="BF8" s="51">
        <v>0</v>
      </c>
      <c r="BG8" s="52">
        <v>0</v>
      </c>
      <c r="BH8" s="51">
        <v>0</v>
      </c>
      <c r="BI8" s="52">
        <v>0</v>
      </c>
      <c r="BJ8" s="51">
        <v>21</v>
      </c>
      <c r="BK8" s="52">
        <v>95.45454545454545</v>
      </c>
      <c r="BL8" s="51">
        <v>22</v>
      </c>
    </row>
    <row r="9" spans="1:64" ht="15">
      <c r="A9" s="84" t="s">
        <v>216</v>
      </c>
      <c r="B9" s="84" t="s">
        <v>216</v>
      </c>
      <c r="C9" s="53"/>
      <c r="D9" s="54"/>
      <c r="E9" s="65"/>
      <c r="F9" s="55"/>
      <c r="G9" s="53"/>
      <c r="H9" s="57"/>
      <c r="I9" s="56"/>
      <c r="J9" s="56"/>
      <c r="K9" s="36" t="s">
        <v>65</v>
      </c>
      <c r="L9" s="83">
        <v>9</v>
      </c>
      <c r="M9" s="83"/>
      <c r="N9" s="63"/>
      <c r="O9" s="86" t="s">
        <v>176</v>
      </c>
      <c r="P9" s="88">
        <v>43740.669641203705</v>
      </c>
      <c r="Q9" s="86" t="s">
        <v>228</v>
      </c>
      <c r="R9" s="89" t="s">
        <v>233</v>
      </c>
      <c r="S9" s="86" t="s">
        <v>235</v>
      </c>
      <c r="T9" s="86" t="s">
        <v>238</v>
      </c>
      <c r="U9" s="86"/>
      <c r="V9" s="89" t="s">
        <v>245</v>
      </c>
      <c r="W9" s="88">
        <v>43740.669641203705</v>
      </c>
      <c r="X9" s="89" t="s">
        <v>252</v>
      </c>
      <c r="Y9" s="86"/>
      <c r="Z9" s="86"/>
      <c r="AA9" s="92" t="s">
        <v>261</v>
      </c>
      <c r="AB9" s="86"/>
      <c r="AC9" s="86" t="b">
        <v>0</v>
      </c>
      <c r="AD9" s="86">
        <v>4</v>
      </c>
      <c r="AE9" s="92" t="s">
        <v>267</v>
      </c>
      <c r="AF9" s="86" t="b">
        <v>1</v>
      </c>
      <c r="AG9" s="86" t="s">
        <v>270</v>
      </c>
      <c r="AH9" s="86"/>
      <c r="AI9" s="92" t="s">
        <v>266</v>
      </c>
      <c r="AJ9" s="86" t="b">
        <v>0</v>
      </c>
      <c r="AK9" s="86">
        <v>0</v>
      </c>
      <c r="AL9" s="92" t="s">
        <v>267</v>
      </c>
      <c r="AM9" s="86" t="s">
        <v>274</v>
      </c>
      <c r="AN9" s="86" t="b">
        <v>0</v>
      </c>
      <c r="AO9" s="92" t="s">
        <v>261</v>
      </c>
      <c r="AP9" s="86" t="s">
        <v>176</v>
      </c>
      <c r="AQ9" s="86">
        <v>0</v>
      </c>
      <c r="AR9" s="86">
        <v>0</v>
      </c>
      <c r="AS9" s="86"/>
      <c r="AT9" s="86"/>
      <c r="AU9" s="86"/>
      <c r="AV9" s="86"/>
      <c r="AW9" s="86"/>
      <c r="AX9" s="86"/>
      <c r="AY9" s="86"/>
      <c r="AZ9" s="86"/>
      <c r="BA9">
        <v>1</v>
      </c>
      <c r="BB9" s="85" t="str">
        <f>REPLACE(INDEX(GroupVertices[Group],MATCH(Edges25[[#This Row],[Vertex 1]],GroupVertices[Vertex],0)),1,1,"")</f>
        <v>1</v>
      </c>
      <c r="BC9" s="85" t="str">
        <f>REPLACE(INDEX(GroupVertices[Group],MATCH(Edges25[[#This Row],[Vertex 2]],GroupVertices[Vertex],0)),1,1,"")</f>
        <v>1</v>
      </c>
      <c r="BD9" s="51">
        <v>3</v>
      </c>
      <c r="BE9" s="52">
        <v>33.333333333333336</v>
      </c>
      <c r="BF9" s="51">
        <v>0</v>
      </c>
      <c r="BG9" s="52">
        <v>0</v>
      </c>
      <c r="BH9" s="51">
        <v>0</v>
      </c>
      <c r="BI9" s="52">
        <v>0</v>
      </c>
      <c r="BJ9" s="51">
        <v>6</v>
      </c>
      <c r="BK9" s="52">
        <v>66.66666666666667</v>
      </c>
      <c r="BL9" s="51">
        <v>9</v>
      </c>
    </row>
    <row r="10" spans="1:64" ht="15">
      <c r="A10" s="84" t="s">
        <v>217</v>
      </c>
      <c r="B10" s="84" t="s">
        <v>216</v>
      </c>
      <c r="C10" s="53"/>
      <c r="D10" s="54"/>
      <c r="E10" s="65"/>
      <c r="F10" s="55"/>
      <c r="G10" s="53"/>
      <c r="H10" s="57"/>
      <c r="I10" s="56"/>
      <c r="J10" s="56"/>
      <c r="K10" s="36" t="s">
        <v>65</v>
      </c>
      <c r="L10" s="83">
        <v>10</v>
      </c>
      <c r="M10" s="83"/>
      <c r="N10" s="63"/>
      <c r="O10" s="86" t="s">
        <v>223</v>
      </c>
      <c r="P10" s="88">
        <v>43741.55871527778</v>
      </c>
      <c r="Q10" s="86" t="s">
        <v>229</v>
      </c>
      <c r="R10" s="89" t="s">
        <v>233</v>
      </c>
      <c r="S10" s="86" t="s">
        <v>235</v>
      </c>
      <c r="T10" s="86" t="s">
        <v>238</v>
      </c>
      <c r="U10" s="86"/>
      <c r="V10" s="89" t="s">
        <v>246</v>
      </c>
      <c r="W10" s="88">
        <v>43741.55871527778</v>
      </c>
      <c r="X10" s="89" t="s">
        <v>253</v>
      </c>
      <c r="Y10" s="86"/>
      <c r="Z10" s="86"/>
      <c r="AA10" s="92" t="s">
        <v>262</v>
      </c>
      <c r="AB10" s="86"/>
      <c r="AC10" s="86" t="b">
        <v>0</v>
      </c>
      <c r="AD10" s="86">
        <v>0</v>
      </c>
      <c r="AE10" s="92" t="s">
        <v>267</v>
      </c>
      <c r="AF10" s="86" t="b">
        <v>1</v>
      </c>
      <c r="AG10" s="86" t="s">
        <v>270</v>
      </c>
      <c r="AH10" s="86"/>
      <c r="AI10" s="92" t="s">
        <v>266</v>
      </c>
      <c r="AJ10" s="86" t="b">
        <v>0</v>
      </c>
      <c r="AK10" s="86">
        <v>1</v>
      </c>
      <c r="AL10" s="92" t="s">
        <v>261</v>
      </c>
      <c r="AM10" s="86" t="s">
        <v>274</v>
      </c>
      <c r="AN10" s="86" t="b">
        <v>0</v>
      </c>
      <c r="AO10" s="92" t="s">
        <v>261</v>
      </c>
      <c r="AP10" s="86" t="s">
        <v>176</v>
      </c>
      <c r="AQ10" s="86">
        <v>0</v>
      </c>
      <c r="AR10" s="86">
        <v>0</v>
      </c>
      <c r="AS10" s="86"/>
      <c r="AT10" s="86"/>
      <c r="AU10" s="86"/>
      <c r="AV10" s="86"/>
      <c r="AW10" s="86"/>
      <c r="AX10" s="86"/>
      <c r="AY10" s="86"/>
      <c r="AZ10" s="86"/>
      <c r="BA10">
        <v>1</v>
      </c>
      <c r="BB10" s="85" t="str">
        <f>REPLACE(INDEX(GroupVertices[Group],MATCH(Edges25[[#This Row],[Vertex 1]],GroupVertices[Vertex],0)),1,1,"")</f>
        <v>1</v>
      </c>
      <c r="BC10" s="85" t="str">
        <f>REPLACE(INDEX(GroupVertices[Group],MATCH(Edges25[[#This Row],[Vertex 2]],GroupVertices[Vertex],0)),1,1,"")</f>
        <v>1</v>
      </c>
      <c r="BD10" s="51">
        <v>3</v>
      </c>
      <c r="BE10" s="52">
        <v>27.272727272727273</v>
      </c>
      <c r="BF10" s="51">
        <v>0</v>
      </c>
      <c r="BG10" s="52">
        <v>0</v>
      </c>
      <c r="BH10" s="51">
        <v>0</v>
      </c>
      <c r="BI10" s="52">
        <v>0</v>
      </c>
      <c r="BJ10" s="51">
        <v>8</v>
      </c>
      <c r="BK10" s="52">
        <v>72.72727272727273</v>
      </c>
      <c r="BL10" s="51">
        <v>11</v>
      </c>
    </row>
    <row r="11" spans="1:64" ht="15">
      <c r="A11" s="84" t="s">
        <v>217</v>
      </c>
      <c r="B11" s="84" t="s">
        <v>220</v>
      </c>
      <c r="C11" s="53"/>
      <c r="D11" s="54"/>
      <c r="E11" s="65"/>
      <c r="F11" s="55"/>
      <c r="G11" s="53"/>
      <c r="H11" s="57"/>
      <c r="I11" s="56"/>
      <c r="J11" s="56"/>
      <c r="K11" s="36" t="s">
        <v>65</v>
      </c>
      <c r="L11" s="83">
        <v>11</v>
      </c>
      <c r="M11" s="83"/>
      <c r="N11" s="63"/>
      <c r="O11" s="86" t="s">
        <v>223</v>
      </c>
      <c r="P11" s="88">
        <v>43741.559270833335</v>
      </c>
      <c r="Q11" s="86" t="s">
        <v>230</v>
      </c>
      <c r="R11" s="86"/>
      <c r="S11" s="86"/>
      <c r="T11" s="86" t="s">
        <v>238</v>
      </c>
      <c r="U11" s="89" t="s">
        <v>241</v>
      </c>
      <c r="V11" s="89" t="s">
        <v>241</v>
      </c>
      <c r="W11" s="88">
        <v>43741.559270833335</v>
      </c>
      <c r="X11" s="89" t="s">
        <v>254</v>
      </c>
      <c r="Y11" s="86"/>
      <c r="Z11" s="86"/>
      <c r="AA11" s="92" t="s">
        <v>263</v>
      </c>
      <c r="AB11" s="92" t="s">
        <v>266</v>
      </c>
      <c r="AC11" s="86" t="b">
        <v>0</v>
      </c>
      <c r="AD11" s="86">
        <v>1</v>
      </c>
      <c r="AE11" s="92" t="s">
        <v>268</v>
      </c>
      <c r="AF11" s="86" t="b">
        <v>0</v>
      </c>
      <c r="AG11" s="86" t="s">
        <v>270</v>
      </c>
      <c r="AH11" s="86"/>
      <c r="AI11" s="92" t="s">
        <v>267</v>
      </c>
      <c r="AJ11" s="86" t="b">
        <v>0</v>
      </c>
      <c r="AK11" s="86">
        <v>0</v>
      </c>
      <c r="AL11" s="92" t="s">
        <v>267</v>
      </c>
      <c r="AM11" s="86" t="s">
        <v>274</v>
      </c>
      <c r="AN11" s="86" t="b">
        <v>0</v>
      </c>
      <c r="AO11" s="92" t="s">
        <v>266</v>
      </c>
      <c r="AP11" s="86" t="s">
        <v>176</v>
      </c>
      <c r="AQ11" s="86">
        <v>0</v>
      </c>
      <c r="AR11" s="86">
        <v>0</v>
      </c>
      <c r="AS11" s="86"/>
      <c r="AT11" s="86"/>
      <c r="AU11" s="86"/>
      <c r="AV11" s="86"/>
      <c r="AW11" s="86"/>
      <c r="AX11" s="86"/>
      <c r="AY11" s="86"/>
      <c r="AZ11" s="86"/>
      <c r="BA11">
        <v>1</v>
      </c>
      <c r="BB11" s="85" t="str">
        <f>REPLACE(INDEX(GroupVertices[Group],MATCH(Edges25[[#This Row],[Vertex 1]],GroupVertices[Vertex],0)),1,1,"")</f>
        <v>1</v>
      </c>
      <c r="BC11" s="85" t="str">
        <f>REPLACE(INDEX(GroupVertices[Group],MATCH(Edges25[[#This Row],[Vertex 2]],GroupVertices[Vertex],0)),1,1,"")</f>
        <v>1</v>
      </c>
      <c r="BD11" s="51"/>
      <c r="BE11" s="52"/>
      <c r="BF11" s="51"/>
      <c r="BG11" s="52"/>
      <c r="BH11" s="51"/>
      <c r="BI11" s="52"/>
      <c r="BJ11" s="51"/>
      <c r="BK11" s="52"/>
      <c r="BL11" s="51"/>
    </row>
    <row r="12" spans="1:64" ht="15">
      <c r="A12" s="84" t="s">
        <v>217</v>
      </c>
      <c r="B12" s="84" t="s">
        <v>221</v>
      </c>
      <c r="C12" s="53"/>
      <c r="D12" s="54"/>
      <c r="E12" s="65"/>
      <c r="F12" s="55"/>
      <c r="G12" s="53"/>
      <c r="H12" s="57"/>
      <c r="I12" s="56"/>
      <c r="J12" s="56"/>
      <c r="K12" s="36" t="s">
        <v>65</v>
      </c>
      <c r="L12" s="83">
        <v>12</v>
      </c>
      <c r="M12" s="83"/>
      <c r="N12" s="63"/>
      <c r="O12" s="86" t="s">
        <v>223</v>
      </c>
      <c r="P12" s="88">
        <v>43741.559270833335</v>
      </c>
      <c r="Q12" s="86" t="s">
        <v>230</v>
      </c>
      <c r="R12" s="86"/>
      <c r="S12" s="86"/>
      <c r="T12" s="86" t="s">
        <v>238</v>
      </c>
      <c r="U12" s="89" t="s">
        <v>241</v>
      </c>
      <c r="V12" s="89" t="s">
        <v>241</v>
      </c>
      <c r="W12" s="88">
        <v>43741.559270833335</v>
      </c>
      <c r="X12" s="89" t="s">
        <v>254</v>
      </c>
      <c r="Y12" s="86"/>
      <c r="Z12" s="86"/>
      <c r="AA12" s="92" t="s">
        <v>263</v>
      </c>
      <c r="AB12" s="92" t="s">
        <v>266</v>
      </c>
      <c r="AC12" s="86" t="b">
        <v>0</v>
      </c>
      <c r="AD12" s="86">
        <v>1</v>
      </c>
      <c r="AE12" s="92" t="s">
        <v>268</v>
      </c>
      <c r="AF12" s="86" t="b">
        <v>0</v>
      </c>
      <c r="AG12" s="86" t="s">
        <v>270</v>
      </c>
      <c r="AH12" s="86"/>
      <c r="AI12" s="92" t="s">
        <v>267</v>
      </c>
      <c r="AJ12" s="86" t="b">
        <v>0</v>
      </c>
      <c r="AK12" s="86">
        <v>0</v>
      </c>
      <c r="AL12" s="92" t="s">
        <v>267</v>
      </c>
      <c r="AM12" s="86" t="s">
        <v>274</v>
      </c>
      <c r="AN12" s="86" t="b">
        <v>0</v>
      </c>
      <c r="AO12" s="92" t="s">
        <v>266</v>
      </c>
      <c r="AP12" s="86" t="s">
        <v>176</v>
      </c>
      <c r="AQ12" s="86">
        <v>0</v>
      </c>
      <c r="AR12" s="86">
        <v>0</v>
      </c>
      <c r="AS12" s="86"/>
      <c r="AT12" s="86"/>
      <c r="AU12" s="86"/>
      <c r="AV12" s="86"/>
      <c r="AW12" s="86"/>
      <c r="AX12" s="86"/>
      <c r="AY12" s="86"/>
      <c r="AZ12" s="86"/>
      <c r="BA12">
        <v>1</v>
      </c>
      <c r="BB12" s="85" t="str">
        <f>REPLACE(INDEX(GroupVertices[Group],MATCH(Edges25[[#This Row],[Vertex 1]],GroupVertices[Vertex],0)),1,1,"")</f>
        <v>1</v>
      </c>
      <c r="BC12" s="85" t="str">
        <f>REPLACE(INDEX(GroupVertices[Group],MATCH(Edges25[[#This Row],[Vertex 2]],GroupVertices[Vertex],0)),1,1,"")</f>
        <v>1</v>
      </c>
      <c r="BD12" s="51"/>
      <c r="BE12" s="52"/>
      <c r="BF12" s="51"/>
      <c r="BG12" s="52"/>
      <c r="BH12" s="51"/>
      <c r="BI12" s="52"/>
      <c r="BJ12" s="51"/>
      <c r="BK12" s="52"/>
      <c r="BL12" s="51"/>
    </row>
    <row r="13" spans="1:64" ht="15">
      <c r="A13" s="84" t="s">
        <v>217</v>
      </c>
      <c r="B13" s="84" t="s">
        <v>222</v>
      </c>
      <c r="C13" s="53"/>
      <c r="D13" s="54"/>
      <c r="E13" s="65"/>
      <c r="F13" s="55"/>
      <c r="G13" s="53"/>
      <c r="H13" s="57"/>
      <c r="I13" s="56"/>
      <c r="J13" s="56"/>
      <c r="K13" s="36" t="s">
        <v>65</v>
      </c>
      <c r="L13" s="83">
        <v>13</v>
      </c>
      <c r="M13" s="83"/>
      <c r="N13" s="63"/>
      <c r="O13" s="86" t="s">
        <v>224</v>
      </c>
      <c r="P13" s="88">
        <v>43741.559270833335</v>
      </c>
      <c r="Q13" s="86" t="s">
        <v>230</v>
      </c>
      <c r="R13" s="86"/>
      <c r="S13" s="86"/>
      <c r="T13" s="86" t="s">
        <v>238</v>
      </c>
      <c r="U13" s="89" t="s">
        <v>241</v>
      </c>
      <c r="V13" s="89" t="s">
        <v>241</v>
      </c>
      <c r="W13" s="88">
        <v>43741.559270833335</v>
      </c>
      <c r="X13" s="89" t="s">
        <v>254</v>
      </c>
      <c r="Y13" s="86"/>
      <c r="Z13" s="86"/>
      <c r="AA13" s="92" t="s">
        <v>263</v>
      </c>
      <c r="AB13" s="92" t="s">
        <v>266</v>
      </c>
      <c r="AC13" s="86" t="b">
        <v>0</v>
      </c>
      <c r="AD13" s="86">
        <v>1</v>
      </c>
      <c r="AE13" s="92" t="s">
        <v>268</v>
      </c>
      <c r="AF13" s="86" t="b">
        <v>0</v>
      </c>
      <c r="AG13" s="86" t="s">
        <v>270</v>
      </c>
      <c r="AH13" s="86"/>
      <c r="AI13" s="92" t="s">
        <v>267</v>
      </c>
      <c r="AJ13" s="86" t="b">
        <v>0</v>
      </c>
      <c r="AK13" s="86">
        <v>0</v>
      </c>
      <c r="AL13" s="92" t="s">
        <v>267</v>
      </c>
      <c r="AM13" s="86" t="s">
        <v>274</v>
      </c>
      <c r="AN13" s="86" t="b">
        <v>0</v>
      </c>
      <c r="AO13" s="92" t="s">
        <v>266</v>
      </c>
      <c r="AP13" s="86" t="s">
        <v>176</v>
      </c>
      <c r="AQ13" s="86">
        <v>0</v>
      </c>
      <c r="AR13" s="86">
        <v>0</v>
      </c>
      <c r="AS13" s="86"/>
      <c r="AT13" s="86"/>
      <c r="AU13" s="86"/>
      <c r="AV13" s="86"/>
      <c r="AW13" s="86"/>
      <c r="AX13" s="86"/>
      <c r="AY13" s="86"/>
      <c r="AZ13" s="86"/>
      <c r="BA13">
        <v>1</v>
      </c>
      <c r="BB13" s="85" t="str">
        <f>REPLACE(INDEX(GroupVertices[Group],MATCH(Edges25[[#This Row],[Vertex 1]],GroupVertices[Vertex],0)),1,1,"")</f>
        <v>1</v>
      </c>
      <c r="BC13" s="85" t="str">
        <f>REPLACE(INDEX(GroupVertices[Group],MATCH(Edges25[[#This Row],[Vertex 2]],GroupVertices[Vertex],0)),1,1,"")</f>
        <v>1</v>
      </c>
      <c r="BD13" s="51">
        <v>1</v>
      </c>
      <c r="BE13" s="52">
        <v>16.666666666666668</v>
      </c>
      <c r="BF13" s="51">
        <v>0</v>
      </c>
      <c r="BG13" s="52">
        <v>0</v>
      </c>
      <c r="BH13" s="51">
        <v>0</v>
      </c>
      <c r="BI13" s="52">
        <v>0</v>
      </c>
      <c r="BJ13" s="51">
        <v>5</v>
      </c>
      <c r="BK13" s="52">
        <v>83.33333333333333</v>
      </c>
      <c r="BL13" s="51">
        <v>6</v>
      </c>
    </row>
    <row r="14" spans="1:64" ht="15">
      <c r="A14" s="84" t="s">
        <v>218</v>
      </c>
      <c r="B14" s="84" t="s">
        <v>219</v>
      </c>
      <c r="C14" s="53"/>
      <c r="D14" s="54"/>
      <c r="E14" s="65"/>
      <c r="F14" s="55"/>
      <c r="G14" s="53"/>
      <c r="H14" s="57"/>
      <c r="I14" s="56"/>
      <c r="J14" s="56"/>
      <c r="K14" s="36" t="s">
        <v>66</v>
      </c>
      <c r="L14" s="83">
        <v>14</v>
      </c>
      <c r="M14" s="83"/>
      <c r="N14" s="63"/>
      <c r="O14" s="86" t="s">
        <v>223</v>
      </c>
      <c r="P14" s="88">
        <v>43741.43628472222</v>
      </c>
      <c r="Q14" s="86" t="s">
        <v>231</v>
      </c>
      <c r="R14" s="86"/>
      <c r="S14" s="86"/>
      <c r="T14" s="86" t="s">
        <v>237</v>
      </c>
      <c r="U14" s="89" t="s">
        <v>242</v>
      </c>
      <c r="V14" s="89" t="s">
        <v>242</v>
      </c>
      <c r="W14" s="88">
        <v>43741.43628472222</v>
      </c>
      <c r="X14" s="89" t="s">
        <v>255</v>
      </c>
      <c r="Y14" s="86"/>
      <c r="Z14" s="86"/>
      <c r="AA14" s="92" t="s">
        <v>264</v>
      </c>
      <c r="AB14" s="86"/>
      <c r="AC14" s="86" t="b">
        <v>0</v>
      </c>
      <c r="AD14" s="86">
        <v>5</v>
      </c>
      <c r="AE14" s="92" t="s">
        <v>267</v>
      </c>
      <c r="AF14" s="86" t="b">
        <v>0</v>
      </c>
      <c r="AG14" s="86" t="s">
        <v>270</v>
      </c>
      <c r="AH14" s="86"/>
      <c r="AI14" s="92" t="s">
        <v>267</v>
      </c>
      <c r="AJ14" s="86" t="b">
        <v>0</v>
      </c>
      <c r="AK14" s="86">
        <v>2</v>
      </c>
      <c r="AL14" s="92" t="s">
        <v>267</v>
      </c>
      <c r="AM14" s="86" t="s">
        <v>272</v>
      </c>
      <c r="AN14" s="86" t="b">
        <v>0</v>
      </c>
      <c r="AO14" s="92" t="s">
        <v>264</v>
      </c>
      <c r="AP14" s="86" t="s">
        <v>176</v>
      </c>
      <c r="AQ14" s="86">
        <v>0</v>
      </c>
      <c r="AR14" s="86">
        <v>0</v>
      </c>
      <c r="AS14" s="86"/>
      <c r="AT14" s="86"/>
      <c r="AU14" s="86"/>
      <c r="AV14" s="86"/>
      <c r="AW14" s="86"/>
      <c r="AX14" s="86"/>
      <c r="AY14" s="86"/>
      <c r="AZ14" s="86"/>
      <c r="BA14">
        <v>1</v>
      </c>
      <c r="BB14" s="85" t="str">
        <f>REPLACE(INDEX(GroupVertices[Group],MATCH(Edges25[[#This Row],[Vertex 1]],GroupVertices[Vertex],0)),1,1,"")</f>
        <v>2</v>
      </c>
      <c r="BC14" s="85" t="str">
        <f>REPLACE(INDEX(GroupVertices[Group],MATCH(Edges25[[#This Row],[Vertex 2]],GroupVertices[Vertex],0)),1,1,"")</f>
        <v>2</v>
      </c>
      <c r="BD14" s="51">
        <v>1</v>
      </c>
      <c r="BE14" s="52">
        <v>5.555555555555555</v>
      </c>
      <c r="BF14" s="51">
        <v>0</v>
      </c>
      <c r="BG14" s="52">
        <v>0</v>
      </c>
      <c r="BH14" s="51">
        <v>0</v>
      </c>
      <c r="BI14" s="52">
        <v>0</v>
      </c>
      <c r="BJ14" s="51">
        <v>17</v>
      </c>
      <c r="BK14" s="52">
        <v>94.44444444444444</v>
      </c>
      <c r="BL14" s="51">
        <v>18</v>
      </c>
    </row>
    <row r="15" spans="1:64" ht="15">
      <c r="A15" s="84" t="s">
        <v>219</v>
      </c>
      <c r="B15" s="84" t="s">
        <v>218</v>
      </c>
      <c r="C15" s="53"/>
      <c r="D15" s="54"/>
      <c r="E15" s="65"/>
      <c r="F15" s="55"/>
      <c r="G15" s="53"/>
      <c r="H15" s="57"/>
      <c r="I15" s="56"/>
      <c r="J15" s="56"/>
      <c r="K15" s="36" t="s">
        <v>66</v>
      </c>
      <c r="L15" s="83">
        <v>15</v>
      </c>
      <c r="M15" s="83"/>
      <c r="N15" s="63"/>
      <c r="O15" s="86" t="s">
        <v>224</v>
      </c>
      <c r="P15" s="88">
        <v>43741.893472222226</v>
      </c>
      <c r="Q15" s="86" t="s">
        <v>232</v>
      </c>
      <c r="R15" s="89" t="s">
        <v>234</v>
      </c>
      <c r="S15" s="86" t="s">
        <v>235</v>
      </c>
      <c r="T15" s="86" t="s">
        <v>239</v>
      </c>
      <c r="U15" s="86"/>
      <c r="V15" s="89" t="s">
        <v>247</v>
      </c>
      <c r="W15" s="88">
        <v>43741.893472222226</v>
      </c>
      <c r="X15" s="89" t="s">
        <v>256</v>
      </c>
      <c r="Y15" s="86"/>
      <c r="Z15" s="86"/>
      <c r="AA15" s="92" t="s">
        <v>265</v>
      </c>
      <c r="AB15" s="86"/>
      <c r="AC15" s="86" t="b">
        <v>0</v>
      </c>
      <c r="AD15" s="86">
        <v>3</v>
      </c>
      <c r="AE15" s="92" t="s">
        <v>269</v>
      </c>
      <c r="AF15" s="86" t="b">
        <v>1</v>
      </c>
      <c r="AG15" s="86" t="s">
        <v>270</v>
      </c>
      <c r="AH15" s="86"/>
      <c r="AI15" s="92" t="s">
        <v>264</v>
      </c>
      <c r="AJ15" s="86" t="b">
        <v>0</v>
      </c>
      <c r="AK15" s="86">
        <v>0</v>
      </c>
      <c r="AL15" s="92" t="s">
        <v>267</v>
      </c>
      <c r="AM15" s="86" t="s">
        <v>272</v>
      </c>
      <c r="AN15" s="86" t="b">
        <v>0</v>
      </c>
      <c r="AO15" s="92" t="s">
        <v>265</v>
      </c>
      <c r="AP15" s="86" t="s">
        <v>176</v>
      </c>
      <c r="AQ15" s="86">
        <v>0</v>
      </c>
      <c r="AR15" s="86">
        <v>0</v>
      </c>
      <c r="AS15" s="86"/>
      <c r="AT15" s="86"/>
      <c r="AU15" s="86"/>
      <c r="AV15" s="86"/>
      <c r="AW15" s="86"/>
      <c r="AX15" s="86"/>
      <c r="AY15" s="86"/>
      <c r="AZ15" s="86"/>
      <c r="BA15">
        <v>1</v>
      </c>
      <c r="BB15" s="85" t="str">
        <f>REPLACE(INDEX(GroupVertices[Group],MATCH(Edges25[[#This Row],[Vertex 1]],GroupVertices[Vertex],0)),1,1,"")</f>
        <v>2</v>
      </c>
      <c r="BC15" s="85" t="str">
        <f>REPLACE(INDEX(GroupVertices[Group],MATCH(Edges25[[#This Row],[Vertex 2]],GroupVertices[Vertex],0)),1,1,"")</f>
        <v>2</v>
      </c>
      <c r="BD15" s="51">
        <v>1</v>
      </c>
      <c r="BE15" s="52">
        <v>3.7037037037037037</v>
      </c>
      <c r="BF15" s="51">
        <v>0</v>
      </c>
      <c r="BG15" s="52">
        <v>0</v>
      </c>
      <c r="BH15" s="51">
        <v>0</v>
      </c>
      <c r="BI15" s="52">
        <v>0</v>
      </c>
      <c r="BJ15" s="51">
        <v>26</v>
      </c>
      <c r="BK15" s="52">
        <v>96.29629629629629</v>
      </c>
      <c r="BL15" s="51">
        <v>27</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hyperlinks>
    <hyperlink ref="R9" r:id="rId1" display="https://twitter.com/qutdmrc/status/1178575442527174657"/>
    <hyperlink ref="R10" r:id="rId2" display="https://twitter.com/qutdmrc/status/1178575442527174657"/>
    <hyperlink ref="R15" r:id="rId3" display="https://twitter.com/phdaisy/status/1179704712498745344"/>
    <hyperlink ref="U3" r:id="rId4" display="https://pbs.twimg.com/media/CJ4XpMxWIAAKU2s.jpg"/>
    <hyperlink ref="U4" r:id="rId5" display="https://pbs.twimg.com/media/CJ4XpMxWIAAKU2s.jpg"/>
    <hyperlink ref="U11" r:id="rId6" display="https://pbs.twimg.com/tweet_video_thumb/EF9Ptj1XkAEIiZ6.jpg"/>
    <hyperlink ref="U12" r:id="rId7" display="https://pbs.twimg.com/tweet_video_thumb/EF9Ptj1XkAEIiZ6.jpg"/>
    <hyperlink ref="U13" r:id="rId8" display="https://pbs.twimg.com/tweet_video_thumb/EF9Ptj1XkAEIiZ6.jpg"/>
    <hyperlink ref="U14" r:id="rId9" display="https://pbs.twimg.com/media/EF8nJ6SXoAAWsF4.jpg"/>
    <hyperlink ref="V3" r:id="rId10" display="https://pbs.twimg.com/media/CJ4XpMxWIAAKU2s.jpg"/>
    <hyperlink ref="V4" r:id="rId11" display="https://pbs.twimg.com/media/CJ4XpMxWIAAKU2s.jpg"/>
    <hyperlink ref="V5" r:id="rId12" display="http://pbs.twimg.com/profile_images/1014662498090475522/Go2MRzN-_normal.jpg"/>
    <hyperlink ref="V6" r:id="rId13" display="http://pbs.twimg.com/profile_images/1014662498090475522/Go2MRzN-_normal.jpg"/>
    <hyperlink ref="V7" r:id="rId14" display="http://pbs.twimg.com/profile_images/459500839799750656/H7xES5vj_normal.png"/>
    <hyperlink ref="V8" r:id="rId15" display="http://pbs.twimg.com/profile_images/459500839799750656/H7xES5vj_normal.png"/>
    <hyperlink ref="V9" r:id="rId16" display="http://pbs.twimg.com/profile_images/1063480420514365440/_8nRHyVW_normal.jpg"/>
    <hyperlink ref="V10" r:id="rId17" display="http://pbs.twimg.com/profile_images/1079374662763724801/tvIDz9T-_normal.jpg"/>
    <hyperlink ref="V11" r:id="rId18" display="https://pbs.twimg.com/tweet_video_thumb/EF9Ptj1XkAEIiZ6.jpg"/>
    <hyperlink ref="V12" r:id="rId19" display="https://pbs.twimg.com/tweet_video_thumb/EF9Ptj1XkAEIiZ6.jpg"/>
    <hyperlink ref="V13" r:id="rId20" display="https://pbs.twimg.com/tweet_video_thumb/EF9Ptj1XkAEIiZ6.jpg"/>
    <hyperlink ref="V14" r:id="rId21" display="https://pbs.twimg.com/media/EF8nJ6SXoAAWsF4.jpg"/>
    <hyperlink ref="V15" r:id="rId22" display="http://pbs.twimg.com/profile_images/2534760018/dx10cw081qu8u3i5f0pb_normal.jpeg"/>
    <hyperlink ref="X3" r:id="rId23" display="https://twitter.com/#!/jennykorn/status/620959795957362688"/>
    <hyperlink ref="X4" r:id="rId24" display="https://twitter.com/#!/pink1963dsw/status/1179217232670478336"/>
    <hyperlink ref="X5" r:id="rId25" display="https://twitter.com/#!/smandpbot/status/1179727338772275201"/>
    <hyperlink ref="X6" r:id="rId26" display="https://twitter.com/#!/smandpbot/status/1179727338772275201"/>
    <hyperlink ref="X7" r:id="rId27" display="https://twitter.com/#!/snurb_dot_info/status/1179733956805054468"/>
    <hyperlink ref="X8" r:id="rId28" display="https://twitter.com/#!/snurb_dot_info/status/1179733956805054468"/>
    <hyperlink ref="X9" r:id="rId29" display="https://twitter.com/#!/sabwilkinson/status/1179426889636761603"/>
    <hyperlink ref="X10" r:id="rId30" display="https://twitter.com/#!/saviaga/status/1179749079112458245"/>
    <hyperlink ref="X11" r:id="rId31" display="https://twitter.com/#!/saviaga/status/1179749277532397568"/>
    <hyperlink ref="X12" r:id="rId32" display="https://twitter.com/#!/saviaga/status/1179749277532397568"/>
    <hyperlink ref="X13" r:id="rId33" display="https://twitter.com/#!/saviaga/status/1179749277532397568"/>
    <hyperlink ref="X14" r:id="rId34" display="https://twitter.com/#!/phdaisy/status/1179704712498745344"/>
    <hyperlink ref="X15" r:id="rId35" display="https://twitter.com/#!/vickinashoii/status/1179870391097069580"/>
  </hyperlinks>
  <printOptions/>
  <pageMargins left="0.7" right="0.7" top="0.75" bottom="0.75" header="0.3" footer="0.3"/>
  <pageSetup horizontalDpi="600" verticalDpi="600" orientation="portrait" r:id="rId39"/>
  <legacyDrawing r:id="rId37"/>
  <tableParts>
    <tablePart r:id="rId38"/>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619</v>
      </c>
      <c r="B1" s="13" t="s">
        <v>34</v>
      </c>
    </row>
    <row r="2" spans="1:2" ht="15">
      <c r="A2" s="124" t="s">
        <v>217</v>
      </c>
      <c r="B2" s="85">
        <v>12</v>
      </c>
    </row>
    <row r="3" spans="1:2" ht="15">
      <c r="A3" s="124" t="s">
        <v>218</v>
      </c>
      <c r="B3" s="85">
        <v>1</v>
      </c>
    </row>
    <row r="4" spans="1:2" ht="15">
      <c r="A4" s="124" t="s">
        <v>219</v>
      </c>
      <c r="B4" s="85">
        <v>1</v>
      </c>
    </row>
    <row r="5" spans="1:2" ht="15">
      <c r="A5" s="124" t="s">
        <v>222</v>
      </c>
      <c r="B5" s="85">
        <v>0</v>
      </c>
    </row>
    <row r="6" spans="1:2" ht="15">
      <c r="A6" s="124" t="s">
        <v>221</v>
      </c>
      <c r="B6" s="85">
        <v>0</v>
      </c>
    </row>
    <row r="7" spans="1:2" ht="15">
      <c r="A7" s="124" t="s">
        <v>220</v>
      </c>
      <c r="B7" s="85">
        <v>0</v>
      </c>
    </row>
    <row r="8" spans="1:2" ht="15">
      <c r="A8" s="124" t="s">
        <v>216</v>
      </c>
      <c r="B8" s="85">
        <v>0</v>
      </c>
    </row>
    <row r="9" spans="1:2" ht="15">
      <c r="A9" s="124" t="s">
        <v>213</v>
      </c>
      <c r="B9" s="85">
        <v>0</v>
      </c>
    </row>
    <row r="10" spans="1:2" ht="15">
      <c r="A10" s="124" t="s">
        <v>212</v>
      </c>
      <c r="B10" s="85">
        <v>0</v>
      </c>
    </row>
    <row r="11" spans="1:2" ht="15">
      <c r="A11" s="124" t="s">
        <v>215</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621</v>
      </c>
      <c r="B25" t="s">
        <v>620</v>
      </c>
    </row>
    <row r="26" spans="1:2" ht="15">
      <c r="A26" s="136">
        <v>42199.59405092592</v>
      </c>
      <c r="B26" s="3">
        <v>1</v>
      </c>
    </row>
    <row r="27" spans="1:2" ht="15">
      <c r="A27" s="136">
        <v>43740.091099537036</v>
      </c>
      <c r="B27" s="3">
        <v>1</v>
      </c>
    </row>
    <row r="28" spans="1:2" ht="15">
      <c r="A28" s="136">
        <v>43740.669641203705</v>
      </c>
      <c r="B28" s="3">
        <v>1</v>
      </c>
    </row>
    <row r="29" spans="1:2" ht="15">
      <c r="A29" s="136">
        <v>43741.43628472222</v>
      </c>
      <c r="B29" s="3">
        <v>1</v>
      </c>
    </row>
    <row r="30" spans="1:2" ht="15">
      <c r="A30" s="136">
        <v>43741.49872685185</v>
      </c>
      <c r="B30" s="3">
        <v>2</v>
      </c>
    </row>
    <row r="31" spans="1:2" ht="15">
      <c r="A31" s="136">
        <v>43741.51699074074</v>
      </c>
      <c r="B31" s="3">
        <v>2</v>
      </c>
    </row>
    <row r="32" spans="1:2" ht="15">
      <c r="A32" s="136">
        <v>43741.55871527778</v>
      </c>
      <c r="B32" s="3">
        <v>1</v>
      </c>
    </row>
    <row r="33" spans="1:2" ht="15">
      <c r="A33" s="136">
        <v>43741.559270833335</v>
      </c>
      <c r="B33" s="3">
        <v>3</v>
      </c>
    </row>
    <row r="34" spans="1:2" ht="15">
      <c r="A34" s="136">
        <v>43741.893472222226</v>
      </c>
      <c r="B34" s="3">
        <v>1</v>
      </c>
    </row>
    <row r="35" spans="1:2" ht="15">
      <c r="A35" s="136" t="s">
        <v>622</v>
      </c>
      <c r="B35"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276</v>
      </c>
      <c r="AE2" s="13" t="s">
        <v>277</v>
      </c>
      <c r="AF2" s="13" t="s">
        <v>278</v>
      </c>
      <c r="AG2" s="13" t="s">
        <v>279</v>
      </c>
      <c r="AH2" s="13" t="s">
        <v>280</v>
      </c>
      <c r="AI2" s="13" t="s">
        <v>281</v>
      </c>
      <c r="AJ2" s="13" t="s">
        <v>282</v>
      </c>
      <c r="AK2" s="13" t="s">
        <v>283</v>
      </c>
      <c r="AL2" s="13" t="s">
        <v>284</v>
      </c>
      <c r="AM2" s="13" t="s">
        <v>285</v>
      </c>
      <c r="AN2" s="13" t="s">
        <v>286</v>
      </c>
      <c r="AO2" s="13" t="s">
        <v>287</v>
      </c>
      <c r="AP2" s="13" t="s">
        <v>288</v>
      </c>
      <c r="AQ2" s="13" t="s">
        <v>289</v>
      </c>
      <c r="AR2" s="13" t="s">
        <v>290</v>
      </c>
      <c r="AS2" s="13" t="s">
        <v>192</v>
      </c>
      <c r="AT2" s="13" t="s">
        <v>291</v>
      </c>
      <c r="AU2" s="13" t="s">
        <v>292</v>
      </c>
      <c r="AV2" s="13" t="s">
        <v>293</v>
      </c>
      <c r="AW2" s="13" t="s">
        <v>294</v>
      </c>
      <c r="AX2" s="13" t="s">
        <v>295</v>
      </c>
      <c r="AY2" s="13" t="s">
        <v>296</v>
      </c>
      <c r="AZ2" s="13" t="s">
        <v>425</v>
      </c>
      <c r="BA2" s="127" t="s">
        <v>536</v>
      </c>
      <c r="BB2" s="127" t="s">
        <v>537</v>
      </c>
      <c r="BC2" s="127" t="s">
        <v>538</v>
      </c>
      <c r="BD2" s="127" t="s">
        <v>539</v>
      </c>
      <c r="BE2" s="127" t="s">
        <v>540</v>
      </c>
      <c r="BF2" s="127" t="s">
        <v>541</v>
      </c>
      <c r="BG2" s="127" t="s">
        <v>542</v>
      </c>
      <c r="BH2" s="127" t="s">
        <v>549</v>
      </c>
      <c r="BI2" s="127" t="s">
        <v>551</v>
      </c>
      <c r="BJ2" s="127" t="s">
        <v>558</v>
      </c>
      <c r="BK2" s="127" t="s">
        <v>579</v>
      </c>
      <c r="BL2" s="127" t="s">
        <v>580</v>
      </c>
      <c r="BM2" s="127" t="s">
        <v>581</v>
      </c>
      <c r="BN2" s="127" t="s">
        <v>582</v>
      </c>
      <c r="BO2" s="127" t="s">
        <v>583</v>
      </c>
      <c r="BP2" s="127" t="s">
        <v>584</v>
      </c>
      <c r="BQ2" s="127" t="s">
        <v>585</v>
      </c>
      <c r="BR2" s="127" t="s">
        <v>586</v>
      </c>
      <c r="BS2" s="127" t="s">
        <v>588</v>
      </c>
      <c r="BT2" s="3"/>
      <c r="BU2" s="3"/>
    </row>
    <row r="3" spans="1:73" ht="15" customHeight="1">
      <c r="A3" s="50" t="s">
        <v>212</v>
      </c>
      <c r="B3" s="53"/>
      <c r="C3" s="53" t="s">
        <v>64</v>
      </c>
      <c r="D3" s="54">
        <v>470.393723628692</v>
      </c>
      <c r="E3" s="55"/>
      <c r="F3" s="112" t="s">
        <v>351</v>
      </c>
      <c r="G3" s="53"/>
      <c r="H3" s="57" t="s">
        <v>212</v>
      </c>
      <c r="I3" s="56"/>
      <c r="J3" s="56"/>
      <c r="K3" s="114" t="s">
        <v>369</v>
      </c>
      <c r="L3" s="59">
        <v>1</v>
      </c>
      <c r="M3" s="60">
        <v>9011.4443359375</v>
      </c>
      <c r="N3" s="60">
        <v>7322.796875</v>
      </c>
      <c r="O3" s="58"/>
      <c r="P3" s="61"/>
      <c r="Q3" s="61"/>
      <c r="R3" s="51"/>
      <c r="S3" s="51">
        <v>2</v>
      </c>
      <c r="T3" s="51">
        <v>1</v>
      </c>
      <c r="U3" s="52">
        <v>0</v>
      </c>
      <c r="V3" s="52">
        <v>1</v>
      </c>
      <c r="W3" s="52">
        <v>0</v>
      </c>
      <c r="X3" s="52">
        <v>1.298186</v>
      </c>
      <c r="Y3" s="52">
        <v>0</v>
      </c>
      <c r="Z3" s="52">
        <v>0</v>
      </c>
      <c r="AA3" s="62">
        <v>3</v>
      </c>
      <c r="AB3" s="62"/>
      <c r="AC3" s="63"/>
      <c r="AD3" s="85" t="s">
        <v>297</v>
      </c>
      <c r="AE3" s="85">
        <v>768</v>
      </c>
      <c r="AF3" s="85">
        <v>2893</v>
      </c>
      <c r="AG3" s="85">
        <v>23941</v>
      </c>
      <c r="AH3" s="85">
        <v>2371</v>
      </c>
      <c r="AI3" s="85"/>
      <c r="AJ3" s="85" t="s">
        <v>308</v>
      </c>
      <c r="AK3" s="90" t="s">
        <v>319</v>
      </c>
      <c r="AL3" s="90" t="s">
        <v>328</v>
      </c>
      <c r="AM3" s="85"/>
      <c r="AN3" s="87">
        <v>39883.176782407405</v>
      </c>
      <c r="AO3" s="90" t="s">
        <v>337</v>
      </c>
      <c r="AP3" s="85" t="b">
        <v>0</v>
      </c>
      <c r="AQ3" s="85" t="b">
        <v>0</v>
      </c>
      <c r="AR3" s="85" t="b">
        <v>0</v>
      </c>
      <c r="AS3" s="85"/>
      <c r="AT3" s="85">
        <v>282</v>
      </c>
      <c r="AU3" s="90" t="s">
        <v>346</v>
      </c>
      <c r="AV3" s="85" t="b">
        <v>0</v>
      </c>
      <c r="AW3" s="85" t="s">
        <v>357</v>
      </c>
      <c r="AX3" s="90" t="s">
        <v>358</v>
      </c>
      <c r="AY3" s="85" t="s">
        <v>66</v>
      </c>
      <c r="AZ3" s="85" t="str">
        <f>REPLACE(INDEX(GroupVertices[Group],MATCH(Vertices[[#This Row],[Vertex]],GroupVertices[Vertex],0)),1,1,"")</f>
        <v>3</v>
      </c>
      <c r="BA3" s="51"/>
      <c r="BB3" s="51"/>
      <c r="BC3" s="51"/>
      <c r="BD3" s="51"/>
      <c r="BE3" s="51" t="s">
        <v>236</v>
      </c>
      <c r="BF3" s="51" t="s">
        <v>236</v>
      </c>
      <c r="BG3" s="128" t="s">
        <v>484</v>
      </c>
      <c r="BH3" s="128" t="s">
        <v>484</v>
      </c>
      <c r="BI3" s="128" t="s">
        <v>515</v>
      </c>
      <c r="BJ3" s="128" t="s">
        <v>515</v>
      </c>
      <c r="BK3" s="128">
        <v>0</v>
      </c>
      <c r="BL3" s="131">
        <v>0</v>
      </c>
      <c r="BM3" s="128">
        <v>0</v>
      </c>
      <c r="BN3" s="131">
        <v>0</v>
      </c>
      <c r="BO3" s="128">
        <v>0</v>
      </c>
      <c r="BP3" s="131">
        <v>0</v>
      </c>
      <c r="BQ3" s="128">
        <v>11</v>
      </c>
      <c r="BR3" s="131">
        <v>100</v>
      </c>
      <c r="BS3" s="128">
        <v>11</v>
      </c>
      <c r="BT3" s="3"/>
      <c r="BU3" s="3"/>
    </row>
    <row r="4" spans="1:76" ht="15">
      <c r="A4" s="14" t="s">
        <v>213</v>
      </c>
      <c r="B4" s="15"/>
      <c r="C4" s="15" t="s">
        <v>64</v>
      </c>
      <c r="D4" s="93">
        <v>338.79324894514764</v>
      </c>
      <c r="E4" s="81"/>
      <c r="F4" s="112" t="s">
        <v>352</v>
      </c>
      <c r="G4" s="15"/>
      <c r="H4" s="16" t="s">
        <v>213</v>
      </c>
      <c r="I4" s="66"/>
      <c r="J4" s="66"/>
      <c r="K4" s="114" t="s">
        <v>370</v>
      </c>
      <c r="L4" s="94">
        <v>1</v>
      </c>
      <c r="M4" s="95">
        <v>9011.4443359375</v>
      </c>
      <c r="N4" s="95">
        <v>2676.202880859375</v>
      </c>
      <c r="O4" s="77"/>
      <c r="P4" s="96"/>
      <c r="Q4" s="96"/>
      <c r="R4" s="97"/>
      <c r="S4" s="51">
        <v>0</v>
      </c>
      <c r="T4" s="51">
        <v>1</v>
      </c>
      <c r="U4" s="52">
        <v>0</v>
      </c>
      <c r="V4" s="52">
        <v>1</v>
      </c>
      <c r="W4" s="52">
        <v>0</v>
      </c>
      <c r="X4" s="52">
        <v>0.701724</v>
      </c>
      <c r="Y4" s="52">
        <v>0</v>
      </c>
      <c r="Z4" s="52">
        <v>0</v>
      </c>
      <c r="AA4" s="82">
        <v>4</v>
      </c>
      <c r="AB4" s="82"/>
      <c r="AC4" s="98"/>
      <c r="AD4" s="85" t="s">
        <v>298</v>
      </c>
      <c r="AE4" s="85">
        <v>4794</v>
      </c>
      <c r="AF4" s="85">
        <v>1702</v>
      </c>
      <c r="AG4" s="85">
        <v>106272</v>
      </c>
      <c r="AH4" s="85">
        <v>117730</v>
      </c>
      <c r="AI4" s="85"/>
      <c r="AJ4" s="85" t="s">
        <v>309</v>
      </c>
      <c r="AK4" s="85" t="s">
        <v>320</v>
      </c>
      <c r="AL4" s="85"/>
      <c r="AM4" s="85"/>
      <c r="AN4" s="87">
        <v>41927.008425925924</v>
      </c>
      <c r="AO4" s="85"/>
      <c r="AP4" s="85" t="b">
        <v>0</v>
      </c>
      <c r="AQ4" s="85" t="b">
        <v>0</v>
      </c>
      <c r="AR4" s="85" t="b">
        <v>1</v>
      </c>
      <c r="AS4" s="85"/>
      <c r="AT4" s="85">
        <v>18</v>
      </c>
      <c r="AU4" s="90" t="s">
        <v>347</v>
      </c>
      <c r="AV4" s="85" t="b">
        <v>0</v>
      </c>
      <c r="AW4" s="85" t="s">
        <v>357</v>
      </c>
      <c r="AX4" s="90" t="s">
        <v>359</v>
      </c>
      <c r="AY4" s="85" t="s">
        <v>66</v>
      </c>
      <c r="AZ4" s="85" t="str">
        <f>REPLACE(INDEX(GroupVertices[Group],MATCH(Vertices[[#This Row],[Vertex]],GroupVertices[Vertex],0)),1,1,"")</f>
        <v>3</v>
      </c>
      <c r="BA4" s="51"/>
      <c r="BB4" s="51"/>
      <c r="BC4" s="51"/>
      <c r="BD4" s="51"/>
      <c r="BE4" s="51" t="s">
        <v>236</v>
      </c>
      <c r="BF4" s="51" t="s">
        <v>236</v>
      </c>
      <c r="BG4" s="128" t="s">
        <v>543</v>
      </c>
      <c r="BH4" s="128" t="s">
        <v>543</v>
      </c>
      <c r="BI4" s="128" t="s">
        <v>552</v>
      </c>
      <c r="BJ4" s="128" t="s">
        <v>552</v>
      </c>
      <c r="BK4" s="128">
        <v>0</v>
      </c>
      <c r="BL4" s="131">
        <v>0</v>
      </c>
      <c r="BM4" s="128">
        <v>0</v>
      </c>
      <c r="BN4" s="131">
        <v>0</v>
      </c>
      <c r="BO4" s="128">
        <v>0</v>
      </c>
      <c r="BP4" s="131">
        <v>0</v>
      </c>
      <c r="BQ4" s="128">
        <v>13</v>
      </c>
      <c r="BR4" s="131">
        <v>100</v>
      </c>
      <c r="BS4" s="128">
        <v>13</v>
      </c>
      <c r="BT4" s="2"/>
      <c r="BU4" s="3"/>
      <c r="BV4" s="3"/>
      <c r="BW4" s="3"/>
      <c r="BX4" s="3"/>
    </row>
    <row r="5" spans="1:76" ht="15">
      <c r="A5" s="14" t="s">
        <v>214</v>
      </c>
      <c r="B5" s="15"/>
      <c r="C5" s="15" t="s">
        <v>64</v>
      </c>
      <c r="D5" s="93">
        <v>189.73444092827003</v>
      </c>
      <c r="E5" s="81"/>
      <c r="F5" s="112" t="s">
        <v>243</v>
      </c>
      <c r="G5" s="15"/>
      <c r="H5" s="16" t="s">
        <v>214</v>
      </c>
      <c r="I5" s="66"/>
      <c r="J5" s="66"/>
      <c r="K5" s="114" t="s">
        <v>371</v>
      </c>
      <c r="L5" s="94">
        <v>1</v>
      </c>
      <c r="M5" s="95">
        <v>8023.888671875</v>
      </c>
      <c r="N5" s="95">
        <v>452.42559814453125</v>
      </c>
      <c r="O5" s="77"/>
      <c r="P5" s="96"/>
      <c r="Q5" s="96"/>
      <c r="R5" s="97"/>
      <c r="S5" s="51">
        <v>0</v>
      </c>
      <c r="T5" s="51">
        <v>2</v>
      </c>
      <c r="U5" s="52">
        <v>0</v>
      </c>
      <c r="V5" s="52">
        <v>0.25</v>
      </c>
      <c r="W5" s="52">
        <v>0.219221</v>
      </c>
      <c r="X5" s="52">
        <v>0.819113</v>
      </c>
      <c r="Y5" s="52">
        <v>1</v>
      </c>
      <c r="Z5" s="52">
        <v>0</v>
      </c>
      <c r="AA5" s="82">
        <v>5</v>
      </c>
      <c r="AB5" s="82"/>
      <c r="AC5" s="98"/>
      <c r="AD5" s="85" t="s">
        <v>299</v>
      </c>
      <c r="AE5" s="85">
        <v>454</v>
      </c>
      <c r="AF5" s="85">
        <v>353</v>
      </c>
      <c r="AG5" s="85">
        <v>17195</v>
      </c>
      <c r="AH5" s="85">
        <v>15373</v>
      </c>
      <c r="AI5" s="85"/>
      <c r="AJ5" s="85" t="s">
        <v>310</v>
      </c>
      <c r="AK5" s="85" t="s">
        <v>321</v>
      </c>
      <c r="AL5" s="90" t="s">
        <v>329</v>
      </c>
      <c r="AM5" s="85"/>
      <c r="AN5" s="87">
        <v>43285.988229166665</v>
      </c>
      <c r="AO5" s="90" t="s">
        <v>338</v>
      </c>
      <c r="AP5" s="85" t="b">
        <v>0</v>
      </c>
      <c r="AQ5" s="85" t="b">
        <v>0</v>
      </c>
      <c r="AR5" s="85" t="b">
        <v>0</v>
      </c>
      <c r="AS5" s="85"/>
      <c r="AT5" s="85">
        <v>4</v>
      </c>
      <c r="AU5" s="90" t="s">
        <v>348</v>
      </c>
      <c r="AV5" s="85" t="b">
        <v>0</v>
      </c>
      <c r="AW5" s="85" t="s">
        <v>357</v>
      </c>
      <c r="AX5" s="90" t="s">
        <v>360</v>
      </c>
      <c r="AY5" s="85" t="s">
        <v>66</v>
      </c>
      <c r="AZ5" s="85" t="str">
        <f>REPLACE(INDEX(GroupVertices[Group],MATCH(Vertices[[#This Row],[Vertex]],GroupVertices[Vertex],0)),1,1,"")</f>
        <v>2</v>
      </c>
      <c r="BA5" s="51"/>
      <c r="BB5" s="51"/>
      <c r="BC5" s="51"/>
      <c r="BD5" s="51"/>
      <c r="BE5" s="51" t="s">
        <v>237</v>
      </c>
      <c r="BF5" s="51" t="s">
        <v>237</v>
      </c>
      <c r="BG5" s="128" t="s">
        <v>544</v>
      </c>
      <c r="BH5" s="128" t="s">
        <v>544</v>
      </c>
      <c r="BI5" s="128" t="s">
        <v>553</v>
      </c>
      <c r="BJ5" s="128" t="s">
        <v>553</v>
      </c>
      <c r="BK5" s="128">
        <v>1</v>
      </c>
      <c r="BL5" s="131">
        <v>4.545454545454546</v>
      </c>
      <c r="BM5" s="128">
        <v>0</v>
      </c>
      <c r="BN5" s="131">
        <v>0</v>
      </c>
      <c r="BO5" s="128">
        <v>0</v>
      </c>
      <c r="BP5" s="131">
        <v>0</v>
      </c>
      <c r="BQ5" s="128">
        <v>21</v>
      </c>
      <c r="BR5" s="131">
        <v>95.45454545454545</v>
      </c>
      <c r="BS5" s="128">
        <v>22</v>
      </c>
      <c r="BT5" s="2"/>
      <c r="BU5" s="3"/>
      <c r="BV5" s="3"/>
      <c r="BW5" s="3"/>
      <c r="BX5" s="3"/>
    </row>
    <row r="6" spans="1:76" ht="15">
      <c r="A6" s="14" t="s">
        <v>219</v>
      </c>
      <c r="B6" s="15"/>
      <c r="C6" s="15" t="s">
        <v>64</v>
      </c>
      <c r="D6" s="93">
        <v>443.98523206751054</v>
      </c>
      <c r="E6" s="81"/>
      <c r="F6" s="112" t="s">
        <v>247</v>
      </c>
      <c r="G6" s="15"/>
      <c r="H6" s="16" t="s">
        <v>219</v>
      </c>
      <c r="I6" s="66"/>
      <c r="J6" s="66"/>
      <c r="K6" s="114" t="s">
        <v>372</v>
      </c>
      <c r="L6" s="94">
        <v>834.1666666666666</v>
      </c>
      <c r="M6" s="95">
        <v>5663.99853515625</v>
      </c>
      <c r="N6" s="95">
        <v>1862.1392822265625</v>
      </c>
      <c r="O6" s="77"/>
      <c r="P6" s="96"/>
      <c r="Q6" s="96"/>
      <c r="R6" s="97"/>
      <c r="S6" s="51">
        <v>3</v>
      </c>
      <c r="T6" s="51">
        <v>1</v>
      </c>
      <c r="U6" s="52">
        <v>1</v>
      </c>
      <c r="V6" s="52">
        <v>0.333333</v>
      </c>
      <c r="W6" s="52">
        <v>0.280773</v>
      </c>
      <c r="X6" s="52">
        <v>1.180797</v>
      </c>
      <c r="Y6" s="52">
        <v>0.3333333333333333</v>
      </c>
      <c r="Z6" s="52">
        <v>0.3333333333333333</v>
      </c>
      <c r="AA6" s="82">
        <v>6</v>
      </c>
      <c r="AB6" s="82"/>
      <c r="AC6" s="98"/>
      <c r="AD6" s="85" t="s">
        <v>300</v>
      </c>
      <c r="AE6" s="85">
        <v>1150</v>
      </c>
      <c r="AF6" s="85">
        <v>2654</v>
      </c>
      <c r="AG6" s="85">
        <v>1007</v>
      </c>
      <c r="AH6" s="85">
        <v>1247</v>
      </c>
      <c r="AI6" s="85"/>
      <c r="AJ6" s="85" t="s">
        <v>311</v>
      </c>
      <c r="AK6" s="85" t="s">
        <v>322</v>
      </c>
      <c r="AL6" s="90" t="s">
        <v>330</v>
      </c>
      <c r="AM6" s="85"/>
      <c r="AN6" s="87">
        <v>40009.88768518518</v>
      </c>
      <c r="AO6" s="90" t="s">
        <v>339</v>
      </c>
      <c r="AP6" s="85" t="b">
        <v>0</v>
      </c>
      <c r="AQ6" s="85" t="b">
        <v>0</v>
      </c>
      <c r="AR6" s="85" t="b">
        <v>1</v>
      </c>
      <c r="AS6" s="85"/>
      <c r="AT6" s="85">
        <v>84</v>
      </c>
      <c r="AU6" s="90" t="s">
        <v>348</v>
      </c>
      <c r="AV6" s="85" t="b">
        <v>0</v>
      </c>
      <c r="AW6" s="85" t="s">
        <v>357</v>
      </c>
      <c r="AX6" s="90" t="s">
        <v>361</v>
      </c>
      <c r="AY6" s="85" t="s">
        <v>66</v>
      </c>
      <c r="AZ6" s="85" t="str">
        <f>REPLACE(INDEX(GroupVertices[Group],MATCH(Vertices[[#This Row],[Vertex]],GroupVertices[Vertex],0)),1,1,"")</f>
        <v>2</v>
      </c>
      <c r="BA6" s="51" t="s">
        <v>234</v>
      </c>
      <c r="BB6" s="51" t="s">
        <v>234</v>
      </c>
      <c r="BC6" s="51" t="s">
        <v>235</v>
      </c>
      <c r="BD6" s="51" t="s">
        <v>235</v>
      </c>
      <c r="BE6" s="51" t="s">
        <v>239</v>
      </c>
      <c r="BF6" s="51" t="s">
        <v>239</v>
      </c>
      <c r="BG6" s="128" t="s">
        <v>545</v>
      </c>
      <c r="BH6" s="128" t="s">
        <v>545</v>
      </c>
      <c r="BI6" s="128" t="s">
        <v>554</v>
      </c>
      <c r="BJ6" s="128" t="s">
        <v>554</v>
      </c>
      <c r="BK6" s="128">
        <v>1</v>
      </c>
      <c r="BL6" s="131">
        <v>3.7037037037037037</v>
      </c>
      <c r="BM6" s="128">
        <v>0</v>
      </c>
      <c r="BN6" s="131">
        <v>0</v>
      </c>
      <c r="BO6" s="128">
        <v>0</v>
      </c>
      <c r="BP6" s="131">
        <v>0</v>
      </c>
      <c r="BQ6" s="128">
        <v>26</v>
      </c>
      <c r="BR6" s="131">
        <v>96.29629629629629</v>
      </c>
      <c r="BS6" s="128">
        <v>27</v>
      </c>
      <c r="BT6" s="2"/>
      <c r="BU6" s="3"/>
      <c r="BV6" s="3"/>
      <c r="BW6" s="3"/>
      <c r="BX6" s="3"/>
    </row>
    <row r="7" spans="1:76" ht="15">
      <c r="A7" s="14" t="s">
        <v>218</v>
      </c>
      <c r="B7" s="15"/>
      <c r="C7" s="15" t="s">
        <v>64</v>
      </c>
      <c r="D7" s="93">
        <v>374.0414029535865</v>
      </c>
      <c r="E7" s="81"/>
      <c r="F7" s="112" t="s">
        <v>353</v>
      </c>
      <c r="G7" s="15"/>
      <c r="H7" s="16" t="s">
        <v>218</v>
      </c>
      <c r="I7" s="66"/>
      <c r="J7" s="66"/>
      <c r="K7" s="114" t="s">
        <v>373</v>
      </c>
      <c r="L7" s="94">
        <v>834.1666666666666</v>
      </c>
      <c r="M7" s="95">
        <v>7011.79638671875</v>
      </c>
      <c r="N7" s="95">
        <v>8136.85986328125</v>
      </c>
      <c r="O7" s="77"/>
      <c r="P7" s="96"/>
      <c r="Q7" s="96"/>
      <c r="R7" s="97"/>
      <c r="S7" s="51">
        <v>3</v>
      </c>
      <c r="T7" s="51">
        <v>1</v>
      </c>
      <c r="U7" s="52">
        <v>1</v>
      </c>
      <c r="V7" s="52">
        <v>0.333333</v>
      </c>
      <c r="W7" s="52">
        <v>0.280773</v>
      </c>
      <c r="X7" s="52">
        <v>1.180797</v>
      </c>
      <c r="Y7" s="52">
        <v>0.3333333333333333</v>
      </c>
      <c r="Z7" s="52">
        <v>0.3333333333333333</v>
      </c>
      <c r="AA7" s="82">
        <v>7</v>
      </c>
      <c r="AB7" s="82"/>
      <c r="AC7" s="98"/>
      <c r="AD7" s="85" t="s">
        <v>301</v>
      </c>
      <c r="AE7" s="85">
        <v>3474</v>
      </c>
      <c r="AF7" s="85">
        <v>2021</v>
      </c>
      <c r="AG7" s="85">
        <v>41175</v>
      </c>
      <c r="AH7" s="85">
        <v>8550</v>
      </c>
      <c r="AI7" s="85"/>
      <c r="AJ7" s="85" t="s">
        <v>312</v>
      </c>
      <c r="AK7" s="85" t="s">
        <v>323</v>
      </c>
      <c r="AL7" s="90" t="s">
        <v>331</v>
      </c>
      <c r="AM7" s="85"/>
      <c r="AN7" s="87">
        <v>39451.16841435185</v>
      </c>
      <c r="AO7" s="90" t="s">
        <v>340</v>
      </c>
      <c r="AP7" s="85" t="b">
        <v>0</v>
      </c>
      <c r="AQ7" s="85" t="b">
        <v>0</v>
      </c>
      <c r="AR7" s="85" t="b">
        <v>1</v>
      </c>
      <c r="AS7" s="85"/>
      <c r="AT7" s="85">
        <v>151</v>
      </c>
      <c r="AU7" s="90" t="s">
        <v>348</v>
      </c>
      <c r="AV7" s="85" t="b">
        <v>0</v>
      </c>
      <c r="AW7" s="85" t="s">
        <v>357</v>
      </c>
      <c r="AX7" s="90" t="s">
        <v>362</v>
      </c>
      <c r="AY7" s="85" t="s">
        <v>66</v>
      </c>
      <c r="AZ7" s="85" t="str">
        <f>REPLACE(INDEX(GroupVertices[Group],MATCH(Vertices[[#This Row],[Vertex]],GroupVertices[Vertex],0)),1,1,"")</f>
        <v>2</v>
      </c>
      <c r="BA7" s="51"/>
      <c r="BB7" s="51"/>
      <c r="BC7" s="51"/>
      <c r="BD7" s="51"/>
      <c r="BE7" s="51" t="s">
        <v>237</v>
      </c>
      <c r="BF7" s="51" t="s">
        <v>237</v>
      </c>
      <c r="BG7" s="128" t="s">
        <v>546</v>
      </c>
      <c r="BH7" s="128" t="s">
        <v>546</v>
      </c>
      <c r="BI7" s="128" t="s">
        <v>555</v>
      </c>
      <c r="BJ7" s="128" t="s">
        <v>555</v>
      </c>
      <c r="BK7" s="128">
        <v>1</v>
      </c>
      <c r="BL7" s="131">
        <v>5.555555555555555</v>
      </c>
      <c r="BM7" s="128">
        <v>0</v>
      </c>
      <c r="BN7" s="131">
        <v>0</v>
      </c>
      <c r="BO7" s="128">
        <v>0</v>
      </c>
      <c r="BP7" s="131">
        <v>0</v>
      </c>
      <c r="BQ7" s="128">
        <v>17</v>
      </c>
      <c r="BR7" s="131">
        <v>94.44444444444444</v>
      </c>
      <c r="BS7" s="128">
        <v>18</v>
      </c>
      <c r="BT7" s="2"/>
      <c r="BU7" s="3"/>
      <c r="BV7" s="3"/>
      <c r="BW7" s="3"/>
      <c r="BX7" s="3"/>
    </row>
    <row r="8" spans="1:76" ht="15">
      <c r="A8" s="14" t="s">
        <v>215</v>
      </c>
      <c r="B8" s="15"/>
      <c r="C8" s="15" t="s">
        <v>64</v>
      </c>
      <c r="D8" s="93">
        <v>1000</v>
      </c>
      <c r="E8" s="81"/>
      <c r="F8" s="112" t="s">
        <v>244</v>
      </c>
      <c r="G8" s="15"/>
      <c r="H8" s="16" t="s">
        <v>215</v>
      </c>
      <c r="I8" s="66"/>
      <c r="J8" s="66"/>
      <c r="K8" s="114" t="s">
        <v>374</v>
      </c>
      <c r="L8" s="94">
        <v>1</v>
      </c>
      <c r="M8" s="95">
        <v>4651.90625</v>
      </c>
      <c r="N8" s="95">
        <v>9181.3173828125</v>
      </c>
      <c r="O8" s="77"/>
      <c r="P8" s="96"/>
      <c r="Q8" s="96"/>
      <c r="R8" s="97"/>
      <c r="S8" s="51">
        <v>0</v>
      </c>
      <c r="T8" s="51">
        <v>2</v>
      </c>
      <c r="U8" s="52">
        <v>0</v>
      </c>
      <c r="V8" s="52">
        <v>0.25</v>
      </c>
      <c r="W8" s="52">
        <v>0.219221</v>
      </c>
      <c r="X8" s="52">
        <v>0.819113</v>
      </c>
      <c r="Y8" s="52">
        <v>1</v>
      </c>
      <c r="Z8" s="52">
        <v>0</v>
      </c>
      <c r="AA8" s="82">
        <v>8</v>
      </c>
      <c r="AB8" s="82"/>
      <c r="AC8" s="98"/>
      <c r="AD8" s="85" t="s">
        <v>302</v>
      </c>
      <c r="AE8" s="85">
        <v>1864</v>
      </c>
      <c r="AF8" s="85">
        <v>7686</v>
      </c>
      <c r="AG8" s="85">
        <v>67826</v>
      </c>
      <c r="AH8" s="85">
        <v>1708</v>
      </c>
      <c r="AI8" s="85"/>
      <c r="AJ8" s="85" t="s">
        <v>313</v>
      </c>
      <c r="AK8" s="85" t="s">
        <v>324</v>
      </c>
      <c r="AL8" s="90" t="s">
        <v>332</v>
      </c>
      <c r="AM8" s="85"/>
      <c r="AN8" s="87">
        <v>40087.1965625</v>
      </c>
      <c r="AO8" s="90" t="s">
        <v>341</v>
      </c>
      <c r="AP8" s="85" t="b">
        <v>0</v>
      </c>
      <c r="AQ8" s="85" t="b">
        <v>0</v>
      </c>
      <c r="AR8" s="85" t="b">
        <v>0</v>
      </c>
      <c r="AS8" s="85"/>
      <c r="AT8" s="85">
        <v>472</v>
      </c>
      <c r="AU8" s="90" t="s">
        <v>348</v>
      </c>
      <c r="AV8" s="85" t="b">
        <v>0</v>
      </c>
      <c r="AW8" s="85" t="s">
        <v>357</v>
      </c>
      <c r="AX8" s="90" t="s">
        <v>363</v>
      </c>
      <c r="AY8" s="85" t="s">
        <v>66</v>
      </c>
      <c r="AZ8" s="85" t="str">
        <f>REPLACE(INDEX(GroupVertices[Group],MATCH(Vertices[[#This Row],[Vertex]],GroupVertices[Vertex],0)),1,1,"")</f>
        <v>2</v>
      </c>
      <c r="BA8" s="51"/>
      <c r="BB8" s="51"/>
      <c r="BC8" s="51"/>
      <c r="BD8" s="51"/>
      <c r="BE8" s="51" t="s">
        <v>237</v>
      </c>
      <c r="BF8" s="51" t="s">
        <v>237</v>
      </c>
      <c r="BG8" s="128" t="s">
        <v>544</v>
      </c>
      <c r="BH8" s="128" t="s">
        <v>544</v>
      </c>
      <c r="BI8" s="128" t="s">
        <v>553</v>
      </c>
      <c r="BJ8" s="128" t="s">
        <v>553</v>
      </c>
      <c r="BK8" s="128">
        <v>1</v>
      </c>
      <c r="BL8" s="131">
        <v>4.545454545454546</v>
      </c>
      <c r="BM8" s="128">
        <v>0</v>
      </c>
      <c r="BN8" s="131">
        <v>0</v>
      </c>
      <c r="BO8" s="128">
        <v>0</v>
      </c>
      <c r="BP8" s="131">
        <v>0</v>
      </c>
      <c r="BQ8" s="128">
        <v>21</v>
      </c>
      <c r="BR8" s="131">
        <v>95.45454545454545</v>
      </c>
      <c r="BS8" s="128">
        <v>22</v>
      </c>
      <c r="BT8" s="2"/>
      <c r="BU8" s="3"/>
      <c r="BV8" s="3"/>
      <c r="BW8" s="3"/>
      <c r="BX8" s="3"/>
    </row>
    <row r="9" spans="1:76" ht="15">
      <c r="A9" s="14" t="s">
        <v>216</v>
      </c>
      <c r="B9" s="15"/>
      <c r="C9" s="15" t="s">
        <v>64</v>
      </c>
      <c r="D9" s="93">
        <v>228.84994725738397</v>
      </c>
      <c r="E9" s="81"/>
      <c r="F9" s="112" t="s">
        <v>245</v>
      </c>
      <c r="G9" s="15"/>
      <c r="H9" s="16" t="s">
        <v>216</v>
      </c>
      <c r="I9" s="66"/>
      <c r="J9" s="66"/>
      <c r="K9" s="114" t="s">
        <v>375</v>
      </c>
      <c r="L9" s="94">
        <v>1</v>
      </c>
      <c r="M9" s="95">
        <v>2632.27880859375</v>
      </c>
      <c r="N9" s="95">
        <v>2150.737060546875</v>
      </c>
      <c r="O9" s="77"/>
      <c r="P9" s="96"/>
      <c r="Q9" s="96"/>
      <c r="R9" s="97"/>
      <c r="S9" s="51">
        <v>2</v>
      </c>
      <c r="T9" s="51">
        <v>1</v>
      </c>
      <c r="U9" s="52">
        <v>0</v>
      </c>
      <c r="V9" s="52">
        <v>0.142857</v>
      </c>
      <c r="W9" s="52">
        <v>4E-06</v>
      </c>
      <c r="X9" s="52">
        <v>1.050586</v>
      </c>
      <c r="Y9" s="52">
        <v>0</v>
      </c>
      <c r="Z9" s="52">
        <v>0</v>
      </c>
      <c r="AA9" s="82">
        <v>9</v>
      </c>
      <c r="AB9" s="82"/>
      <c r="AC9" s="98"/>
      <c r="AD9" s="85" t="s">
        <v>303</v>
      </c>
      <c r="AE9" s="85">
        <v>2401</v>
      </c>
      <c r="AF9" s="85">
        <v>707</v>
      </c>
      <c r="AG9" s="85">
        <v>368</v>
      </c>
      <c r="AH9" s="85">
        <v>2014</v>
      </c>
      <c r="AI9" s="85"/>
      <c r="AJ9" s="85" t="s">
        <v>314</v>
      </c>
      <c r="AK9" s="85" t="s">
        <v>325</v>
      </c>
      <c r="AL9" s="90" t="s">
        <v>333</v>
      </c>
      <c r="AM9" s="85"/>
      <c r="AN9" s="87">
        <v>41838.19572916667</v>
      </c>
      <c r="AO9" s="85"/>
      <c r="AP9" s="85" t="b">
        <v>0</v>
      </c>
      <c r="AQ9" s="85" t="b">
        <v>0</v>
      </c>
      <c r="AR9" s="85" t="b">
        <v>1</v>
      </c>
      <c r="AS9" s="85"/>
      <c r="AT9" s="85">
        <v>15</v>
      </c>
      <c r="AU9" s="90" t="s">
        <v>348</v>
      </c>
      <c r="AV9" s="85" t="b">
        <v>0</v>
      </c>
      <c r="AW9" s="85" t="s">
        <v>357</v>
      </c>
      <c r="AX9" s="90" t="s">
        <v>364</v>
      </c>
      <c r="AY9" s="85" t="s">
        <v>66</v>
      </c>
      <c r="AZ9" s="85" t="str">
        <f>REPLACE(INDEX(GroupVertices[Group],MATCH(Vertices[[#This Row],[Vertex]],GroupVertices[Vertex],0)),1,1,"")</f>
        <v>1</v>
      </c>
      <c r="BA9" s="51" t="s">
        <v>233</v>
      </c>
      <c r="BB9" s="51" t="s">
        <v>233</v>
      </c>
      <c r="BC9" s="51" t="s">
        <v>235</v>
      </c>
      <c r="BD9" s="51" t="s">
        <v>235</v>
      </c>
      <c r="BE9" s="51" t="s">
        <v>238</v>
      </c>
      <c r="BF9" s="51" t="s">
        <v>238</v>
      </c>
      <c r="BG9" s="128" t="s">
        <v>547</v>
      </c>
      <c r="BH9" s="128" t="s">
        <v>547</v>
      </c>
      <c r="BI9" s="128" t="s">
        <v>556</v>
      </c>
      <c r="BJ9" s="128" t="s">
        <v>556</v>
      </c>
      <c r="BK9" s="128">
        <v>3</v>
      </c>
      <c r="BL9" s="131">
        <v>33.333333333333336</v>
      </c>
      <c r="BM9" s="128">
        <v>0</v>
      </c>
      <c r="BN9" s="131">
        <v>0</v>
      </c>
      <c r="BO9" s="128">
        <v>0</v>
      </c>
      <c r="BP9" s="131">
        <v>0</v>
      </c>
      <c r="BQ9" s="128">
        <v>6</v>
      </c>
      <c r="BR9" s="131">
        <v>66.66666666666667</v>
      </c>
      <c r="BS9" s="128">
        <v>9</v>
      </c>
      <c r="BT9" s="2"/>
      <c r="BU9" s="3"/>
      <c r="BV9" s="3"/>
      <c r="BW9" s="3"/>
      <c r="BX9" s="3"/>
    </row>
    <row r="10" spans="1:76" ht="15">
      <c r="A10" s="14" t="s">
        <v>217</v>
      </c>
      <c r="B10" s="15"/>
      <c r="C10" s="15" t="s">
        <v>64</v>
      </c>
      <c r="D10" s="93">
        <v>796.9087552742616</v>
      </c>
      <c r="E10" s="81"/>
      <c r="F10" s="112" t="s">
        <v>246</v>
      </c>
      <c r="G10" s="15"/>
      <c r="H10" s="16" t="s">
        <v>217</v>
      </c>
      <c r="I10" s="66"/>
      <c r="J10" s="66"/>
      <c r="K10" s="114" t="s">
        <v>376</v>
      </c>
      <c r="L10" s="94">
        <v>9999</v>
      </c>
      <c r="M10" s="95">
        <v>2874.12353515625</v>
      </c>
      <c r="N10" s="95">
        <v>748.6900634765625</v>
      </c>
      <c r="O10" s="77"/>
      <c r="P10" s="96"/>
      <c r="Q10" s="96"/>
      <c r="R10" s="97"/>
      <c r="S10" s="51">
        <v>0</v>
      </c>
      <c r="T10" s="51">
        <v>4</v>
      </c>
      <c r="U10" s="52">
        <v>12</v>
      </c>
      <c r="V10" s="52">
        <v>0.25</v>
      </c>
      <c r="W10" s="52">
        <v>4E-06</v>
      </c>
      <c r="X10" s="52">
        <v>2.136916</v>
      </c>
      <c r="Y10" s="52">
        <v>0</v>
      </c>
      <c r="Z10" s="52">
        <v>0</v>
      </c>
      <c r="AA10" s="82">
        <v>10</v>
      </c>
      <c r="AB10" s="82"/>
      <c r="AC10" s="98"/>
      <c r="AD10" s="85" t="s">
        <v>304</v>
      </c>
      <c r="AE10" s="85">
        <v>3909</v>
      </c>
      <c r="AF10" s="85">
        <v>5848</v>
      </c>
      <c r="AG10" s="85">
        <v>1714</v>
      </c>
      <c r="AH10" s="85">
        <v>8790</v>
      </c>
      <c r="AI10" s="85"/>
      <c r="AJ10" s="85" t="s">
        <v>315</v>
      </c>
      <c r="AK10" s="85" t="s">
        <v>326</v>
      </c>
      <c r="AL10" s="90" t="s">
        <v>334</v>
      </c>
      <c r="AM10" s="85"/>
      <c r="AN10" s="87">
        <v>40247.93883101852</v>
      </c>
      <c r="AO10" s="90" t="s">
        <v>342</v>
      </c>
      <c r="AP10" s="85" t="b">
        <v>0</v>
      </c>
      <c r="AQ10" s="85" t="b">
        <v>0</v>
      </c>
      <c r="AR10" s="85" t="b">
        <v>1</v>
      </c>
      <c r="AS10" s="85"/>
      <c r="AT10" s="85">
        <v>124</v>
      </c>
      <c r="AU10" s="90" t="s">
        <v>349</v>
      </c>
      <c r="AV10" s="85" t="b">
        <v>0</v>
      </c>
      <c r="AW10" s="85" t="s">
        <v>357</v>
      </c>
      <c r="AX10" s="90" t="s">
        <v>365</v>
      </c>
      <c r="AY10" s="85" t="s">
        <v>66</v>
      </c>
      <c r="AZ10" s="85" t="str">
        <f>REPLACE(INDEX(GroupVertices[Group],MATCH(Vertices[[#This Row],[Vertex]],GroupVertices[Vertex],0)),1,1,"")</f>
        <v>1</v>
      </c>
      <c r="BA10" s="51" t="s">
        <v>233</v>
      </c>
      <c r="BB10" s="51" t="s">
        <v>233</v>
      </c>
      <c r="BC10" s="51" t="s">
        <v>235</v>
      </c>
      <c r="BD10" s="51" t="s">
        <v>235</v>
      </c>
      <c r="BE10" s="51" t="s">
        <v>238</v>
      </c>
      <c r="BF10" s="51" t="s">
        <v>238</v>
      </c>
      <c r="BG10" s="128" t="s">
        <v>548</v>
      </c>
      <c r="BH10" s="128" t="s">
        <v>550</v>
      </c>
      <c r="BI10" s="128" t="s">
        <v>557</v>
      </c>
      <c r="BJ10" s="128" t="s">
        <v>559</v>
      </c>
      <c r="BK10" s="128">
        <v>4</v>
      </c>
      <c r="BL10" s="131">
        <v>23.529411764705884</v>
      </c>
      <c r="BM10" s="128">
        <v>0</v>
      </c>
      <c r="BN10" s="131">
        <v>0</v>
      </c>
      <c r="BO10" s="128">
        <v>0</v>
      </c>
      <c r="BP10" s="131">
        <v>0</v>
      </c>
      <c r="BQ10" s="128">
        <v>13</v>
      </c>
      <c r="BR10" s="131">
        <v>76.47058823529412</v>
      </c>
      <c r="BS10" s="128">
        <v>17</v>
      </c>
      <c r="BT10" s="2"/>
      <c r="BU10" s="3"/>
      <c r="BV10" s="3"/>
      <c r="BW10" s="3"/>
      <c r="BX10" s="3"/>
    </row>
    <row r="11" spans="1:76" ht="15">
      <c r="A11" s="14" t="s">
        <v>220</v>
      </c>
      <c r="B11" s="15"/>
      <c r="C11" s="15" t="s">
        <v>64</v>
      </c>
      <c r="D11" s="93">
        <v>1000</v>
      </c>
      <c r="E11" s="81"/>
      <c r="F11" s="112" t="s">
        <v>354</v>
      </c>
      <c r="G11" s="15"/>
      <c r="H11" s="16" t="s">
        <v>220</v>
      </c>
      <c r="I11" s="66"/>
      <c r="J11" s="66"/>
      <c r="K11" s="114" t="s">
        <v>377</v>
      </c>
      <c r="L11" s="94">
        <v>1</v>
      </c>
      <c r="M11" s="95">
        <v>4456.994140625</v>
      </c>
      <c r="N11" s="95">
        <v>9181.3173828125</v>
      </c>
      <c r="O11" s="77"/>
      <c r="P11" s="96"/>
      <c r="Q11" s="96"/>
      <c r="R11" s="97"/>
      <c r="S11" s="51">
        <v>1</v>
      </c>
      <c r="T11" s="51">
        <v>0</v>
      </c>
      <c r="U11" s="52">
        <v>0</v>
      </c>
      <c r="V11" s="52">
        <v>0.142857</v>
      </c>
      <c r="W11" s="52">
        <v>2E-06</v>
      </c>
      <c r="X11" s="52">
        <v>0.604091</v>
      </c>
      <c r="Y11" s="52">
        <v>0</v>
      </c>
      <c r="Z11" s="52">
        <v>0</v>
      </c>
      <c r="AA11" s="82">
        <v>11</v>
      </c>
      <c r="AB11" s="82"/>
      <c r="AC11" s="98"/>
      <c r="AD11" s="85" t="s">
        <v>305</v>
      </c>
      <c r="AE11" s="85">
        <v>273</v>
      </c>
      <c r="AF11" s="85">
        <v>25059</v>
      </c>
      <c r="AG11" s="85">
        <v>10242</v>
      </c>
      <c r="AH11" s="85">
        <v>4918</v>
      </c>
      <c r="AI11" s="85"/>
      <c r="AJ11" s="85" t="s">
        <v>316</v>
      </c>
      <c r="AK11" s="85" t="s">
        <v>327</v>
      </c>
      <c r="AL11" s="90" t="s">
        <v>335</v>
      </c>
      <c r="AM11" s="85"/>
      <c r="AN11" s="87">
        <v>40284.13591435185</v>
      </c>
      <c r="AO11" s="90" t="s">
        <v>343</v>
      </c>
      <c r="AP11" s="85" t="b">
        <v>0</v>
      </c>
      <c r="AQ11" s="85" t="b">
        <v>0</v>
      </c>
      <c r="AR11" s="85" t="b">
        <v>1</v>
      </c>
      <c r="AS11" s="85"/>
      <c r="AT11" s="85">
        <v>365</v>
      </c>
      <c r="AU11" s="90" t="s">
        <v>348</v>
      </c>
      <c r="AV11" s="85" t="b">
        <v>1</v>
      </c>
      <c r="AW11" s="85" t="s">
        <v>357</v>
      </c>
      <c r="AX11" s="90" t="s">
        <v>366</v>
      </c>
      <c r="AY11" s="85" t="s">
        <v>65</v>
      </c>
      <c r="AZ11" s="85" t="str">
        <f>REPLACE(INDEX(GroupVertices[Group],MATCH(Vertices[[#This Row],[Vertex]],GroupVertices[Vertex],0)),1,1,"")</f>
        <v>1</v>
      </c>
      <c r="BA11" s="51"/>
      <c r="BB11" s="51"/>
      <c r="BC11" s="51"/>
      <c r="BD11" s="51"/>
      <c r="BE11" s="51"/>
      <c r="BF11" s="51"/>
      <c r="BG11" s="51"/>
      <c r="BH11" s="51"/>
      <c r="BI11" s="51"/>
      <c r="BJ11" s="51"/>
      <c r="BK11" s="51"/>
      <c r="BL11" s="52"/>
      <c r="BM11" s="51"/>
      <c r="BN11" s="52"/>
      <c r="BO11" s="51"/>
      <c r="BP11" s="52"/>
      <c r="BQ11" s="51"/>
      <c r="BR11" s="52"/>
      <c r="BS11" s="51"/>
      <c r="BT11" s="2"/>
      <c r="BU11" s="3"/>
      <c r="BV11" s="3"/>
      <c r="BW11" s="3"/>
      <c r="BX11" s="3"/>
    </row>
    <row r="12" spans="1:76" ht="15">
      <c r="A12" s="14" t="s">
        <v>221</v>
      </c>
      <c r="B12" s="15"/>
      <c r="C12" s="15" t="s">
        <v>64</v>
      </c>
      <c r="D12" s="93">
        <v>162</v>
      </c>
      <c r="E12" s="81"/>
      <c r="F12" s="112" t="s">
        <v>355</v>
      </c>
      <c r="G12" s="15"/>
      <c r="H12" s="16" t="s">
        <v>221</v>
      </c>
      <c r="I12" s="66"/>
      <c r="J12" s="66"/>
      <c r="K12" s="114" t="s">
        <v>378</v>
      </c>
      <c r="L12" s="94">
        <v>1</v>
      </c>
      <c r="M12" s="95">
        <v>1360.1148681640625</v>
      </c>
      <c r="N12" s="95">
        <v>6060.97509765625</v>
      </c>
      <c r="O12" s="77"/>
      <c r="P12" s="96"/>
      <c r="Q12" s="96"/>
      <c r="R12" s="97"/>
      <c r="S12" s="51">
        <v>1</v>
      </c>
      <c r="T12" s="51">
        <v>0</v>
      </c>
      <c r="U12" s="52">
        <v>0</v>
      </c>
      <c r="V12" s="52">
        <v>0.142857</v>
      </c>
      <c r="W12" s="52">
        <v>2E-06</v>
      </c>
      <c r="X12" s="52">
        <v>0.604091</v>
      </c>
      <c r="Y12" s="52">
        <v>0</v>
      </c>
      <c r="Z12" s="52">
        <v>0</v>
      </c>
      <c r="AA12" s="82">
        <v>12</v>
      </c>
      <c r="AB12" s="82"/>
      <c r="AC12" s="98"/>
      <c r="AD12" s="85" t="s">
        <v>306</v>
      </c>
      <c r="AE12" s="85">
        <v>254</v>
      </c>
      <c r="AF12" s="85">
        <v>102</v>
      </c>
      <c r="AG12" s="85">
        <v>16</v>
      </c>
      <c r="AH12" s="85">
        <v>39</v>
      </c>
      <c r="AI12" s="85"/>
      <c r="AJ12" s="85" t="s">
        <v>317</v>
      </c>
      <c r="AK12" s="85"/>
      <c r="AL12" s="85"/>
      <c r="AM12" s="85"/>
      <c r="AN12" s="87">
        <v>41038.70359953704</v>
      </c>
      <c r="AO12" s="90" t="s">
        <v>344</v>
      </c>
      <c r="AP12" s="85" t="b">
        <v>0</v>
      </c>
      <c r="AQ12" s="85" t="b">
        <v>0</v>
      </c>
      <c r="AR12" s="85" t="b">
        <v>0</v>
      </c>
      <c r="AS12" s="85"/>
      <c r="AT12" s="85">
        <v>2</v>
      </c>
      <c r="AU12" s="90" t="s">
        <v>350</v>
      </c>
      <c r="AV12" s="85" t="b">
        <v>0</v>
      </c>
      <c r="AW12" s="85" t="s">
        <v>357</v>
      </c>
      <c r="AX12" s="90" t="s">
        <v>367</v>
      </c>
      <c r="AY12" s="85" t="s">
        <v>65</v>
      </c>
      <c r="AZ12" s="85" t="str">
        <f>REPLACE(INDEX(GroupVertices[Group],MATCH(Vertices[[#This Row],[Vertex]],GroupVertices[Vertex],0)),1,1,"")</f>
        <v>1</v>
      </c>
      <c r="BA12" s="51"/>
      <c r="BB12" s="51"/>
      <c r="BC12" s="51"/>
      <c r="BD12" s="51"/>
      <c r="BE12" s="51"/>
      <c r="BF12" s="51"/>
      <c r="BG12" s="51"/>
      <c r="BH12" s="51"/>
      <c r="BI12" s="51"/>
      <c r="BJ12" s="51"/>
      <c r="BK12" s="51"/>
      <c r="BL12" s="52"/>
      <c r="BM12" s="51"/>
      <c r="BN12" s="52"/>
      <c r="BO12" s="51"/>
      <c r="BP12" s="52"/>
      <c r="BQ12" s="51"/>
      <c r="BR12" s="52"/>
      <c r="BS12" s="51"/>
      <c r="BT12" s="2"/>
      <c r="BU12" s="3"/>
      <c r="BV12" s="3"/>
      <c r="BW12" s="3"/>
      <c r="BX12" s="3"/>
    </row>
    <row r="13" spans="1:76" ht="15">
      <c r="A13" s="99" t="s">
        <v>222</v>
      </c>
      <c r="B13" s="100"/>
      <c r="C13" s="100" t="s">
        <v>64</v>
      </c>
      <c r="D13" s="101">
        <v>461.001582278481</v>
      </c>
      <c r="E13" s="102"/>
      <c r="F13" s="113" t="s">
        <v>356</v>
      </c>
      <c r="G13" s="100"/>
      <c r="H13" s="103" t="s">
        <v>222</v>
      </c>
      <c r="I13" s="104"/>
      <c r="J13" s="104"/>
      <c r="K13" s="115" t="s">
        <v>379</v>
      </c>
      <c r="L13" s="105">
        <v>1</v>
      </c>
      <c r="M13" s="106">
        <v>337.29571533203125</v>
      </c>
      <c r="N13" s="106">
        <v>8651.1279296875</v>
      </c>
      <c r="O13" s="107"/>
      <c r="P13" s="108"/>
      <c r="Q13" s="108"/>
      <c r="R13" s="109"/>
      <c r="S13" s="51">
        <v>1</v>
      </c>
      <c r="T13" s="51">
        <v>0</v>
      </c>
      <c r="U13" s="52">
        <v>0</v>
      </c>
      <c r="V13" s="52">
        <v>0.142857</v>
      </c>
      <c r="W13" s="52">
        <v>2E-06</v>
      </c>
      <c r="X13" s="52">
        <v>0.604091</v>
      </c>
      <c r="Y13" s="52">
        <v>0</v>
      </c>
      <c r="Z13" s="52">
        <v>0</v>
      </c>
      <c r="AA13" s="110">
        <v>13</v>
      </c>
      <c r="AB13" s="110"/>
      <c r="AC13" s="111"/>
      <c r="AD13" s="85" t="s">
        <v>307</v>
      </c>
      <c r="AE13" s="85">
        <v>631</v>
      </c>
      <c r="AF13" s="85">
        <v>2808</v>
      </c>
      <c r="AG13" s="85">
        <v>2102</v>
      </c>
      <c r="AH13" s="85">
        <v>732</v>
      </c>
      <c r="AI13" s="85"/>
      <c r="AJ13" s="85" t="s">
        <v>318</v>
      </c>
      <c r="AK13" s="85" t="s">
        <v>327</v>
      </c>
      <c r="AL13" s="90" t="s">
        <v>336</v>
      </c>
      <c r="AM13" s="85"/>
      <c r="AN13" s="87">
        <v>42108.10685185185</v>
      </c>
      <c r="AO13" s="90" t="s">
        <v>345</v>
      </c>
      <c r="AP13" s="85" t="b">
        <v>0</v>
      </c>
      <c r="AQ13" s="85" t="b">
        <v>0</v>
      </c>
      <c r="AR13" s="85" t="b">
        <v>0</v>
      </c>
      <c r="AS13" s="85"/>
      <c r="AT13" s="85">
        <v>98</v>
      </c>
      <c r="AU13" s="90" t="s">
        <v>348</v>
      </c>
      <c r="AV13" s="85" t="b">
        <v>0</v>
      </c>
      <c r="AW13" s="85" t="s">
        <v>357</v>
      </c>
      <c r="AX13" s="90" t="s">
        <v>368</v>
      </c>
      <c r="AY13" s="85" t="s">
        <v>65</v>
      </c>
      <c r="AZ13" s="85" t="str">
        <f>REPLACE(INDEX(GroupVertices[Group],MATCH(Vertices[[#This Row],[Vertex]],GroupVertices[Vertex],0)),1,1,"")</f>
        <v>1</v>
      </c>
      <c r="BA13" s="51"/>
      <c r="BB13" s="51"/>
      <c r="BC13" s="51"/>
      <c r="BD13" s="51"/>
      <c r="BE13" s="51"/>
      <c r="BF13" s="51"/>
      <c r="BG13" s="51"/>
      <c r="BH13" s="51"/>
      <c r="BI13" s="51"/>
      <c r="BJ13" s="51"/>
      <c r="BK13" s="51"/>
      <c r="BL13" s="52"/>
      <c r="BM13" s="51"/>
      <c r="BN13" s="52"/>
      <c r="BO13" s="51"/>
      <c r="BP13" s="52"/>
      <c r="BQ13" s="51"/>
      <c r="BR13" s="52"/>
      <c r="BS13" s="51"/>
      <c r="BT13" s="2"/>
      <c r="BU13" s="3"/>
      <c r="BV13" s="3"/>
      <c r="BW13" s="3"/>
      <c r="BX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
    <dataValidation allowBlank="1" showInputMessage="1" promptTitle="Vertex Tooltip" prompt="Enter optional text that will pop up when the mouse is hovered over the vertex." errorTitle="Invalid Vertex Image Key" sqref="K3:K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
    <dataValidation allowBlank="1" showInputMessage="1" promptTitle="Vertex Label Fill Color" prompt="To select an optional fill color for the Label shape, right-click and select Select Color on the right-click menu." sqref="I3:I13"/>
    <dataValidation allowBlank="1" showInputMessage="1" promptTitle="Vertex Image File" prompt="Enter the path to an image file.  Hover over the column header for examples." errorTitle="Invalid Vertex Image Key" sqref="F3:F13"/>
    <dataValidation allowBlank="1" showInputMessage="1" promptTitle="Vertex Color" prompt="To select an optional vertex color, right-click and select Select Color on the right-click menu." sqref="B3:B13"/>
    <dataValidation allowBlank="1" showInputMessage="1" promptTitle="Vertex Opacity" prompt="Enter an optional vertex opacity between 0 (transparent) and 100 (opaque)." errorTitle="Invalid Vertex Opacity" error="The optional vertex opacity must be a whole number between 0 and 10." sqref="E3:E13"/>
    <dataValidation type="list" allowBlank="1" showInputMessage="1" showErrorMessage="1" promptTitle="Vertex Shape" prompt="Select an optional vertex shape." errorTitle="Invalid Vertex Shape" error="You have entered an invalid vertex shape.  Try selecting from the drop-down list instead." sqref="C3:C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
      <formula1>ValidVertexLabelPositions</formula1>
    </dataValidation>
    <dataValidation allowBlank="1" showInputMessage="1" showErrorMessage="1" promptTitle="Vertex Name" prompt="Enter the name of the vertex." sqref="A3:A13"/>
  </dataValidations>
  <hyperlinks>
    <hyperlink ref="AK3" r:id="rId1" display="https://www.igi-global.com/gateway/article/136849"/>
    <hyperlink ref="AL3" r:id="rId2" display="https://t.co/sNNgY6Ta1n"/>
    <hyperlink ref="AL5" r:id="rId3" display="https://t.co/AYp6flIbc6"/>
    <hyperlink ref="AL6" r:id="rId4" display="http://www.oii.ox.ac.uk/people/?id=4"/>
    <hyperlink ref="AL7" r:id="rId5" display="https://t.co/DFFl3qGKRo"/>
    <hyperlink ref="AL8" r:id="rId6" display="http://snurb.info/"/>
    <hyperlink ref="AL9" r:id="rId7" display="https://t.co/i7dka1vK1b"/>
    <hyperlink ref="AL10" r:id="rId8" display="https://t.co/Y0GIkmE8MV"/>
    <hyperlink ref="AL11" r:id="rId9" display="http://t.co/m5BpZJzzFL"/>
    <hyperlink ref="AL13" r:id="rId10" display="https://t.co/XmBGuEQyDX"/>
    <hyperlink ref="AO3" r:id="rId11" display="https://pbs.twimg.com/profile_banners/23720825/1426691861"/>
    <hyperlink ref="AO5" r:id="rId12" display="https://pbs.twimg.com/profile_banners/1014655862177181696/1531679328"/>
    <hyperlink ref="AO6" r:id="rId13" display="https://pbs.twimg.com/profile_banners/57140128/1394641537"/>
    <hyperlink ref="AO7" r:id="rId14" display="https://pbs.twimg.com/profile_banners/11827932/1478027172"/>
    <hyperlink ref="AO8" r:id="rId15" display="https://pbs.twimg.com/profile_banners/78807415/1398387399"/>
    <hyperlink ref="AO10" r:id="rId16" display="https://pbs.twimg.com/profile_banners/121881387/1428812985"/>
    <hyperlink ref="AO11" r:id="rId17" display="https://pbs.twimg.com/profile_banners/133562519/1568245988"/>
    <hyperlink ref="AO12" r:id="rId18" display="https://pbs.twimg.com/profile_banners/575509205/1563183250"/>
    <hyperlink ref="AO13" r:id="rId19" display="https://pbs.twimg.com/profile_banners/3154287162/1429230756"/>
    <hyperlink ref="AU3" r:id="rId20" display="http://abs.twimg.com/images/themes/theme3/bg.gif"/>
    <hyperlink ref="AU4" r:id="rId21" display="http://abs.twimg.com/images/themes/theme11/bg.gif"/>
    <hyperlink ref="AU5" r:id="rId22" display="http://abs.twimg.com/images/themes/theme1/bg.png"/>
    <hyperlink ref="AU6" r:id="rId23" display="http://abs.twimg.com/images/themes/theme1/bg.png"/>
    <hyperlink ref="AU7" r:id="rId24" display="http://abs.twimg.com/images/themes/theme1/bg.png"/>
    <hyperlink ref="AU8" r:id="rId25" display="http://abs.twimg.com/images/themes/theme1/bg.png"/>
    <hyperlink ref="AU9" r:id="rId26" display="http://abs.twimg.com/images/themes/theme1/bg.png"/>
    <hyperlink ref="AU10" r:id="rId27" display="http://abs.twimg.com/images/themes/theme10/bg.gif"/>
    <hyperlink ref="AU11" r:id="rId28" display="http://abs.twimg.com/images/themes/theme1/bg.png"/>
    <hyperlink ref="AU12" r:id="rId29" display="http://abs.twimg.com/images/themes/theme5/bg.gif"/>
    <hyperlink ref="AU13" r:id="rId30" display="http://abs.twimg.com/images/themes/theme1/bg.png"/>
    <hyperlink ref="F3" r:id="rId31" display="http://pbs.twimg.com/profile_images/124998778/Upload_normal.jpg"/>
    <hyperlink ref="F4" r:id="rId32" display="http://pbs.twimg.com/profile_images/777652797298741248/mburwr4c_normal.jpg"/>
    <hyperlink ref="F5" r:id="rId33" display="http://pbs.twimg.com/profile_images/1014662498090475522/Go2MRzN-_normal.jpg"/>
    <hyperlink ref="F6" r:id="rId34" display="http://pbs.twimg.com/profile_images/2534760018/dx10cw081qu8u3i5f0pb_normal.jpeg"/>
    <hyperlink ref="F7" r:id="rId35" display="http://pbs.twimg.com/profile_images/1036631570885554176/OgO8N359_normal.jpg"/>
    <hyperlink ref="F8" r:id="rId36" display="http://pbs.twimg.com/profile_images/459500839799750656/H7xES5vj_normal.png"/>
    <hyperlink ref="F9" r:id="rId37" display="http://pbs.twimg.com/profile_images/1063480420514365440/_8nRHyVW_normal.jpg"/>
    <hyperlink ref="F10" r:id="rId38" display="http://pbs.twimg.com/profile_images/1079374662763724801/tvIDz9T-_normal.jpg"/>
    <hyperlink ref="F11" r:id="rId39" display="http://pbs.twimg.com/profile_images/909649751565492224/Qx1rJ3Bl_normal.jpg"/>
    <hyperlink ref="F12" r:id="rId40" display="http://pbs.twimg.com/profile_images/1150696432992686082/lBN9yH90_normal.jpg"/>
    <hyperlink ref="F13" r:id="rId41" display="http://pbs.twimg.com/profile_images/885730823973945344/O9fnLDUD_normal.jpg"/>
    <hyperlink ref="AX3" r:id="rId42" display="https://twitter.com/jennykorn"/>
    <hyperlink ref="AX4" r:id="rId43" display="https://twitter.com/pink1963dsw"/>
    <hyperlink ref="AX5" r:id="rId44" display="https://twitter.com/smandpbot"/>
    <hyperlink ref="AX6" r:id="rId45" display="https://twitter.com/vickinashoii"/>
    <hyperlink ref="AX7" r:id="rId46" display="https://twitter.com/phdaisy"/>
    <hyperlink ref="AX8" r:id="rId47" display="https://twitter.com/snurb_dot_info"/>
    <hyperlink ref="AX9" r:id="rId48" display="https://twitter.com/sabwilkinson"/>
    <hyperlink ref="AX10" r:id="rId49" display="https://twitter.com/saviaga"/>
    <hyperlink ref="AX11" r:id="rId50" display="https://twitter.com/qut"/>
    <hyperlink ref="AX12" r:id="rId51" display="https://twitter.com/bondykaye"/>
    <hyperlink ref="AX13" r:id="rId52" display="https://twitter.com/qutdmrc"/>
  </hyperlinks>
  <printOptions/>
  <pageMargins left="0.7" right="0.7" top="0.75" bottom="0.75" header="0.3" footer="0.3"/>
  <pageSetup horizontalDpi="600" verticalDpi="600" orientation="portrait" r:id="rId56"/>
  <legacyDrawing r:id="rId54"/>
  <tableParts>
    <tablePart r:id="rId5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436</v>
      </c>
      <c r="Z2" s="13" t="s">
        <v>441</v>
      </c>
      <c r="AA2" s="13" t="s">
        <v>450</v>
      </c>
      <c r="AB2" s="13" t="s">
        <v>481</v>
      </c>
      <c r="AC2" s="13" t="s">
        <v>512</v>
      </c>
      <c r="AD2" s="13" t="s">
        <v>524</v>
      </c>
      <c r="AE2" s="13" t="s">
        <v>525</v>
      </c>
      <c r="AF2" s="13" t="s">
        <v>532</v>
      </c>
      <c r="AG2" s="67" t="s">
        <v>579</v>
      </c>
      <c r="AH2" s="67" t="s">
        <v>580</v>
      </c>
      <c r="AI2" s="67" t="s">
        <v>581</v>
      </c>
      <c r="AJ2" s="67" t="s">
        <v>582</v>
      </c>
      <c r="AK2" s="67" t="s">
        <v>583</v>
      </c>
      <c r="AL2" s="67" t="s">
        <v>584</v>
      </c>
      <c r="AM2" s="67" t="s">
        <v>585</v>
      </c>
      <c r="AN2" s="67" t="s">
        <v>586</v>
      </c>
      <c r="AO2" s="67" t="s">
        <v>589</v>
      </c>
    </row>
    <row r="3" spans="1:41" ht="15">
      <c r="A3" s="125" t="s">
        <v>419</v>
      </c>
      <c r="B3" s="126" t="s">
        <v>422</v>
      </c>
      <c r="C3" s="126" t="s">
        <v>56</v>
      </c>
      <c r="D3" s="117"/>
      <c r="E3" s="116"/>
      <c r="F3" s="118" t="s">
        <v>624</v>
      </c>
      <c r="G3" s="119"/>
      <c r="H3" s="119"/>
      <c r="I3" s="120">
        <v>3</v>
      </c>
      <c r="J3" s="121"/>
      <c r="K3" s="51">
        <v>5</v>
      </c>
      <c r="L3" s="51">
        <v>5</v>
      </c>
      <c r="M3" s="51">
        <v>0</v>
      </c>
      <c r="N3" s="51">
        <v>5</v>
      </c>
      <c r="O3" s="51">
        <v>1</v>
      </c>
      <c r="P3" s="52">
        <v>0</v>
      </c>
      <c r="Q3" s="52">
        <v>0</v>
      </c>
      <c r="R3" s="51">
        <v>1</v>
      </c>
      <c r="S3" s="51">
        <v>0</v>
      </c>
      <c r="T3" s="51">
        <v>5</v>
      </c>
      <c r="U3" s="51">
        <v>5</v>
      </c>
      <c r="V3" s="51">
        <v>2</v>
      </c>
      <c r="W3" s="52">
        <v>1.28</v>
      </c>
      <c r="X3" s="52">
        <v>0.2</v>
      </c>
      <c r="Y3" s="85" t="s">
        <v>233</v>
      </c>
      <c r="Z3" s="85" t="s">
        <v>235</v>
      </c>
      <c r="AA3" s="85" t="s">
        <v>238</v>
      </c>
      <c r="AB3" s="91" t="s">
        <v>482</v>
      </c>
      <c r="AC3" s="91" t="s">
        <v>513</v>
      </c>
      <c r="AD3" s="91" t="s">
        <v>222</v>
      </c>
      <c r="AE3" s="91" t="s">
        <v>526</v>
      </c>
      <c r="AF3" s="91" t="s">
        <v>533</v>
      </c>
      <c r="AG3" s="128">
        <v>7</v>
      </c>
      <c r="AH3" s="131">
        <v>26.923076923076923</v>
      </c>
      <c r="AI3" s="128">
        <v>0</v>
      </c>
      <c r="AJ3" s="131">
        <v>0</v>
      </c>
      <c r="AK3" s="128">
        <v>0</v>
      </c>
      <c r="AL3" s="131">
        <v>0</v>
      </c>
      <c r="AM3" s="128">
        <v>19</v>
      </c>
      <c r="AN3" s="131">
        <v>73.07692307692308</v>
      </c>
      <c r="AO3" s="128">
        <v>26</v>
      </c>
    </row>
    <row r="4" spans="1:41" ht="15">
      <c r="A4" s="125" t="s">
        <v>420</v>
      </c>
      <c r="B4" s="126" t="s">
        <v>423</v>
      </c>
      <c r="C4" s="126" t="s">
        <v>56</v>
      </c>
      <c r="D4" s="122"/>
      <c r="E4" s="100"/>
      <c r="F4" s="103" t="s">
        <v>625</v>
      </c>
      <c r="G4" s="107"/>
      <c r="H4" s="107"/>
      <c r="I4" s="123">
        <v>4</v>
      </c>
      <c r="J4" s="110"/>
      <c r="K4" s="51">
        <v>4</v>
      </c>
      <c r="L4" s="51">
        <v>6</v>
      </c>
      <c r="M4" s="51">
        <v>0</v>
      </c>
      <c r="N4" s="51">
        <v>6</v>
      </c>
      <c r="O4" s="51">
        <v>0</v>
      </c>
      <c r="P4" s="52">
        <v>0.2</v>
      </c>
      <c r="Q4" s="52">
        <v>0.3333333333333333</v>
      </c>
      <c r="R4" s="51">
        <v>1</v>
      </c>
      <c r="S4" s="51">
        <v>0</v>
      </c>
      <c r="T4" s="51">
        <v>4</v>
      </c>
      <c r="U4" s="51">
        <v>6</v>
      </c>
      <c r="V4" s="51">
        <v>2</v>
      </c>
      <c r="W4" s="52">
        <v>0.875</v>
      </c>
      <c r="X4" s="52">
        <v>0.5</v>
      </c>
      <c r="Y4" s="85" t="s">
        <v>234</v>
      </c>
      <c r="Z4" s="85" t="s">
        <v>235</v>
      </c>
      <c r="AA4" s="85" t="s">
        <v>237</v>
      </c>
      <c r="AB4" s="91" t="s">
        <v>483</v>
      </c>
      <c r="AC4" s="91" t="s">
        <v>514</v>
      </c>
      <c r="AD4" s="91" t="s">
        <v>218</v>
      </c>
      <c r="AE4" s="91" t="s">
        <v>527</v>
      </c>
      <c r="AF4" s="91" t="s">
        <v>534</v>
      </c>
      <c r="AG4" s="128">
        <v>4</v>
      </c>
      <c r="AH4" s="131">
        <v>4.49438202247191</v>
      </c>
      <c r="AI4" s="128">
        <v>0</v>
      </c>
      <c r="AJ4" s="131">
        <v>0</v>
      </c>
      <c r="AK4" s="128">
        <v>0</v>
      </c>
      <c r="AL4" s="131">
        <v>0</v>
      </c>
      <c r="AM4" s="128">
        <v>85</v>
      </c>
      <c r="AN4" s="131">
        <v>95.50561797752809</v>
      </c>
      <c r="AO4" s="128">
        <v>89</v>
      </c>
    </row>
    <row r="5" spans="1:41" ht="15">
      <c r="A5" s="125" t="s">
        <v>421</v>
      </c>
      <c r="B5" s="126" t="s">
        <v>424</v>
      </c>
      <c r="C5" s="126" t="s">
        <v>56</v>
      </c>
      <c r="D5" s="122"/>
      <c r="E5" s="100"/>
      <c r="F5" s="103" t="s">
        <v>626</v>
      </c>
      <c r="G5" s="107"/>
      <c r="H5" s="107"/>
      <c r="I5" s="123">
        <v>5</v>
      </c>
      <c r="J5" s="110"/>
      <c r="K5" s="51">
        <v>2</v>
      </c>
      <c r="L5" s="51">
        <v>2</v>
      </c>
      <c r="M5" s="51">
        <v>0</v>
      </c>
      <c r="N5" s="51">
        <v>2</v>
      </c>
      <c r="O5" s="51">
        <v>1</v>
      </c>
      <c r="P5" s="52">
        <v>0</v>
      </c>
      <c r="Q5" s="52">
        <v>0</v>
      </c>
      <c r="R5" s="51">
        <v>1</v>
      </c>
      <c r="S5" s="51">
        <v>0</v>
      </c>
      <c r="T5" s="51">
        <v>2</v>
      </c>
      <c r="U5" s="51">
        <v>2</v>
      </c>
      <c r="V5" s="51">
        <v>1</v>
      </c>
      <c r="W5" s="52">
        <v>0.5</v>
      </c>
      <c r="X5" s="52">
        <v>0.5</v>
      </c>
      <c r="Y5" s="85"/>
      <c r="Z5" s="85"/>
      <c r="AA5" s="85" t="s">
        <v>236</v>
      </c>
      <c r="AB5" s="91" t="s">
        <v>484</v>
      </c>
      <c r="AC5" s="91" t="s">
        <v>515</v>
      </c>
      <c r="AD5" s="91"/>
      <c r="AE5" s="91" t="s">
        <v>212</v>
      </c>
      <c r="AF5" s="91" t="s">
        <v>535</v>
      </c>
      <c r="AG5" s="128">
        <v>0</v>
      </c>
      <c r="AH5" s="131">
        <v>0</v>
      </c>
      <c r="AI5" s="128">
        <v>0</v>
      </c>
      <c r="AJ5" s="131">
        <v>0</v>
      </c>
      <c r="AK5" s="128">
        <v>0</v>
      </c>
      <c r="AL5" s="131">
        <v>0</v>
      </c>
      <c r="AM5" s="128">
        <v>24</v>
      </c>
      <c r="AN5" s="131">
        <v>100</v>
      </c>
      <c r="AO5" s="128">
        <v>24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419</v>
      </c>
      <c r="B2" s="91" t="s">
        <v>217</v>
      </c>
      <c r="C2" s="85">
        <f>VLOOKUP(GroupVertices[[#This Row],[Vertex]],Vertices[],MATCH("ID",Vertices[[#Headers],[Vertex]:[Vertex Content Word Count]],0),FALSE)</f>
        <v>10</v>
      </c>
    </row>
    <row r="3" spans="1:3" ht="15">
      <c r="A3" s="85" t="s">
        <v>419</v>
      </c>
      <c r="B3" s="91" t="s">
        <v>222</v>
      </c>
      <c r="C3" s="85">
        <f>VLOOKUP(GroupVertices[[#This Row],[Vertex]],Vertices[],MATCH("ID",Vertices[[#Headers],[Vertex]:[Vertex Content Word Count]],0),FALSE)</f>
        <v>13</v>
      </c>
    </row>
    <row r="4" spans="1:3" ht="15">
      <c r="A4" s="85" t="s">
        <v>419</v>
      </c>
      <c r="B4" s="91" t="s">
        <v>221</v>
      </c>
      <c r="C4" s="85">
        <f>VLOOKUP(GroupVertices[[#This Row],[Vertex]],Vertices[],MATCH("ID",Vertices[[#Headers],[Vertex]:[Vertex Content Word Count]],0),FALSE)</f>
        <v>12</v>
      </c>
    </row>
    <row r="5" spans="1:3" ht="15">
      <c r="A5" s="85" t="s">
        <v>419</v>
      </c>
      <c r="B5" s="91" t="s">
        <v>220</v>
      </c>
      <c r="C5" s="85">
        <f>VLOOKUP(GroupVertices[[#This Row],[Vertex]],Vertices[],MATCH("ID",Vertices[[#Headers],[Vertex]:[Vertex Content Word Count]],0),FALSE)</f>
        <v>11</v>
      </c>
    </row>
    <row r="6" spans="1:3" ht="15">
      <c r="A6" s="85" t="s">
        <v>419</v>
      </c>
      <c r="B6" s="91" t="s">
        <v>216</v>
      </c>
      <c r="C6" s="85">
        <f>VLOOKUP(GroupVertices[[#This Row],[Vertex]],Vertices[],MATCH("ID",Vertices[[#Headers],[Vertex]:[Vertex Content Word Count]],0),FALSE)</f>
        <v>9</v>
      </c>
    </row>
    <row r="7" spans="1:3" ht="15">
      <c r="A7" s="85" t="s">
        <v>420</v>
      </c>
      <c r="B7" s="91" t="s">
        <v>215</v>
      </c>
      <c r="C7" s="85">
        <f>VLOOKUP(GroupVertices[[#This Row],[Vertex]],Vertices[],MATCH("ID",Vertices[[#Headers],[Vertex]:[Vertex Content Word Count]],0),FALSE)</f>
        <v>8</v>
      </c>
    </row>
    <row r="8" spans="1:3" ht="15">
      <c r="A8" s="85" t="s">
        <v>420</v>
      </c>
      <c r="B8" s="91" t="s">
        <v>218</v>
      </c>
      <c r="C8" s="85">
        <f>VLOOKUP(GroupVertices[[#This Row],[Vertex]],Vertices[],MATCH("ID",Vertices[[#Headers],[Vertex]:[Vertex Content Word Count]],0),FALSE)</f>
        <v>7</v>
      </c>
    </row>
    <row r="9" spans="1:3" ht="15">
      <c r="A9" s="85" t="s">
        <v>420</v>
      </c>
      <c r="B9" s="91" t="s">
        <v>219</v>
      </c>
      <c r="C9" s="85">
        <f>VLOOKUP(GroupVertices[[#This Row],[Vertex]],Vertices[],MATCH("ID",Vertices[[#Headers],[Vertex]:[Vertex Content Word Count]],0),FALSE)</f>
        <v>6</v>
      </c>
    </row>
    <row r="10" spans="1:3" ht="15">
      <c r="A10" s="85" t="s">
        <v>420</v>
      </c>
      <c r="B10" s="91" t="s">
        <v>214</v>
      </c>
      <c r="C10" s="85">
        <f>VLOOKUP(GroupVertices[[#This Row],[Vertex]],Vertices[],MATCH("ID",Vertices[[#Headers],[Vertex]:[Vertex Content Word Count]],0),FALSE)</f>
        <v>5</v>
      </c>
    </row>
    <row r="11" spans="1:3" ht="15">
      <c r="A11" s="85" t="s">
        <v>421</v>
      </c>
      <c r="B11" s="91" t="s">
        <v>213</v>
      </c>
      <c r="C11" s="85">
        <f>VLOOKUP(GroupVertices[[#This Row],[Vertex]],Vertices[],MATCH("ID",Vertices[[#Headers],[Vertex]:[Vertex Content Word Count]],0),FALSE)</f>
        <v>4</v>
      </c>
    </row>
    <row r="12" spans="1:3" ht="15">
      <c r="A12" s="85" t="s">
        <v>421</v>
      </c>
      <c r="B12" s="91" t="s">
        <v>212</v>
      </c>
      <c r="C12" s="85">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593</v>
      </c>
      <c r="B2" s="36" t="s">
        <v>380</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8</v>
      </c>
      <c r="L2" s="39">
        <f>MIN(Vertices[Closeness Centrality])</f>
        <v>0.142857</v>
      </c>
      <c r="M2" s="40">
        <f>COUNTIF(Vertices[Closeness Centrality],"&gt;= "&amp;L2)-COUNTIF(Vertices[Closeness Centrality],"&gt;="&amp;L3)</f>
        <v>4</v>
      </c>
      <c r="N2" s="39">
        <f>MIN(Vertices[Eigenvector Centrality])</f>
        <v>0</v>
      </c>
      <c r="O2" s="40">
        <f>COUNTIF(Vertices[Eigenvector Centrality],"&gt;= "&amp;N2)-COUNTIF(Vertices[Eigenvector Centrality],"&gt;="&amp;N3)</f>
        <v>7</v>
      </c>
      <c r="P2" s="39">
        <f>MIN(Vertices[PageRank])</f>
        <v>0.604091</v>
      </c>
      <c r="Q2" s="40">
        <f>COUNTIF(Vertices[PageRank],"&gt;= "&amp;P2)-COUNTIF(Vertices[PageRank],"&gt;="&amp;P3)</f>
        <v>3</v>
      </c>
      <c r="R2" s="39">
        <f>MIN(Vertices[Clustering Coefficient])</f>
        <v>0</v>
      </c>
      <c r="S2" s="45">
        <f>COUNTIF(Vertices[Clustering Coefficient],"&gt;= "&amp;R2)-COUNTIF(Vertices[Clustering Coefficient],"&gt;="&amp;R3)</f>
        <v>7</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0.07272727272727272</v>
      </c>
      <c r="I3" s="42">
        <f>COUNTIF(Vertices[Out-Degree],"&gt;= "&amp;H3)-COUNTIF(Vertices[Out-Degree],"&gt;="&amp;H4)</f>
        <v>0</v>
      </c>
      <c r="J3" s="41">
        <f aca="true" t="shared" si="4" ref="J3:J26">J2+($J$57-$J$2)/BinDivisor</f>
        <v>0.21818181818181817</v>
      </c>
      <c r="K3" s="42">
        <f>COUNTIF(Vertices[Betweenness Centrality],"&gt;= "&amp;J3)-COUNTIF(Vertices[Betweenness Centrality],"&gt;="&amp;J4)</f>
        <v>0</v>
      </c>
      <c r="L3" s="41">
        <f aca="true" t="shared" si="5" ref="L3:L26">L2+($L$57-$L$2)/BinDivisor</f>
        <v>0.1584414181818182</v>
      </c>
      <c r="M3" s="42">
        <f>COUNTIF(Vertices[Closeness Centrality],"&gt;= "&amp;L3)-COUNTIF(Vertices[Closeness Centrality],"&gt;="&amp;L4)</f>
        <v>0</v>
      </c>
      <c r="N3" s="41">
        <f aca="true" t="shared" si="6" ref="N3:N26">N2+($N$57-$N$2)/BinDivisor</f>
        <v>0.005104963636363636</v>
      </c>
      <c r="O3" s="42">
        <f>COUNTIF(Vertices[Eigenvector Centrality],"&gt;= "&amp;N3)-COUNTIF(Vertices[Eigenvector Centrality],"&gt;="&amp;N4)</f>
        <v>0</v>
      </c>
      <c r="P3" s="41">
        <f aca="true" t="shared" si="7" ref="P3:P26">P2+($P$57-$P$2)/BinDivisor</f>
        <v>0.6319605454545455</v>
      </c>
      <c r="Q3" s="42">
        <f>COUNTIF(Vertices[PageRank],"&gt;= "&amp;P3)-COUNTIF(Vertices[PageRank],"&gt;="&amp;P4)</f>
        <v>0</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11</v>
      </c>
      <c r="D4" s="34">
        <f t="shared" si="1"/>
        <v>0</v>
      </c>
      <c r="E4" s="3">
        <f>COUNTIF(Vertices[Degree],"&gt;= "&amp;D4)-COUNTIF(Vertices[Degree],"&gt;="&amp;D5)</f>
        <v>0</v>
      </c>
      <c r="F4" s="39">
        <f t="shared" si="2"/>
        <v>0.10909090909090909</v>
      </c>
      <c r="G4" s="40">
        <f>COUNTIF(Vertices[In-Degree],"&gt;= "&amp;F4)-COUNTIF(Vertices[In-Degree],"&gt;="&amp;F5)</f>
        <v>0</v>
      </c>
      <c r="H4" s="39">
        <f t="shared" si="3"/>
        <v>0.14545454545454545</v>
      </c>
      <c r="I4" s="40">
        <f>COUNTIF(Vertices[Out-Degree],"&gt;= "&amp;H4)-COUNTIF(Vertices[Out-Degree],"&gt;="&amp;H5)</f>
        <v>0</v>
      </c>
      <c r="J4" s="39">
        <f t="shared" si="4"/>
        <v>0.43636363636363634</v>
      </c>
      <c r="K4" s="40">
        <f>COUNTIF(Vertices[Betweenness Centrality],"&gt;= "&amp;J4)-COUNTIF(Vertices[Betweenness Centrality],"&gt;="&amp;J5)</f>
        <v>0</v>
      </c>
      <c r="L4" s="39">
        <f t="shared" si="5"/>
        <v>0.1740258363636364</v>
      </c>
      <c r="M4" s="40">
        <f>COUNTIF(Vertices[Closeness Centrality],"&gt;= "&amp;L4)-COUNTIF(Vertices[Closeness Centrality],"&gt;="&amp;L5)</f>
        <v>0</v>
      </c>
      <c r="N4" s="39">
        <f t="shared" si="6"/>
        <v>0.010209927272727272</v>
      </c>
      <c r="O4" s="40">
        <f>COUNTIF(Vertices[Eigenvector Centrality],"&gt;= "&amp;N4)-COUNTIF(Vertices[Eigenvector Centrality],"&gt;="&amp;N5)</f>
        <v>0</v>
      </c>
      <c r="P4" s="39">
        <f t="shared" si="7"/>
        <v>0.659830090909091</v>
      </c>
      <c r="Q4" s="40">
        <f>COUNTIF(Vertices[PageRank],"&gt;= "&amp;P4)-COUNTIF(Vertices[PageRank],"&gt;="&amp;P5)</f>
        <v>0</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0.16363636363636364</v>
      </c>
      <c r="G5" s="42">
        <f>COUNTIF(Vertices[In-Degree],"&gt;= "&amp;F5)-COUNTIF(Vertices[In-Degree],"&gt;="&amp;F6)</f>
        <v>0</v>
      </c>
      <c r="H5" s="41">
        <f t="shared" si="3"/>
        <v>0.21818181818181817</v>
      </c>
      <c r="I5" s="42">
        <f>COUNTIF(Vertices[Out-Degree],"&gt;= "&amp;H5)-COUNTIF(Vertices[Out-Degree],"&gt;="&amp;H6)</f>
        <v>0</v>
      </c>
      <c r="J5" s="41">
        <f t="shared" si="4"/>
        <v>0.6545454545454545</v>
      </c>
      <c r="K5" s="42">
        <f>COUNTIF(Vertices[Betweenness Centrality],"&gt;= "&amp;J5)-COUNTIF(Vertices[Betweenness Centrality],"&gt;="&amp;J6)</f>
        <v>0</v>
      </c>
      <c r="L5" s="41">
        <f t="shared" si="5"/>
        <v>0.18961025454545458</v>
      </c>
      <c r="M5" s="42">
        <f>COUNTIF(Vertices[Closeness Centrality],"&gt;= "&amp;L5)-COUNTIF(Vertices[Closeness Centrality],"&gt;="&amp;L6)</f>
        <v>0</v>
      </c>
      <c r="N5" s="41">
        <f t="shared" si="6"/>
        <v>0.015314890909090908</v>
      </c>
      <c r="O5" s="42">
        <f>COUNTIF(Vertices[Eigenvector Centrality],"&gt;= "&amp;N5)-COUNTIF(Vertices[Eigenvector Centrality],"&gt;="&amp;N6)</f>
        <v>0</v>
      </c>
      <c r="P5" s="41">
        <f t="shared" si="7"/>
        <v>0.6876996363636364</v>
      </c>
      <c r="Q5" s="42">
        <f>COUNTIF(Vertices[PageRank],"&gt;= "&amp;P5)-COUNTIF(Vertices[PageRank],"&gt;="&amp;P6)</f>
        <v>1</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13</v>
      </c>
      <c r="D6" s="34">
        <f t="shared" si="1"/>
        <v>0</v>
      </c>
      <c r="E6" s="3">
        <f>COUNTIF(Vertices[Degree],"&gt;= "&amp;D6)-COUNTIF(Vertices[Degree],"&gt;="&amp;D7)</f>
        <v>0</v>
      </c>
      <c r="F6" s="39">
        <f t="shared" si="2"/>
        <v>0.21818181818181817</v>
      </c>
      <c r="G6" s="40">
        <f>COUNTIF(Vertices[In-Degree],"&gt;= "&amp;F6)-COUNTIF(Vertices[In-Degree],"&gt;="&amp;F7)</f>
        <v>0</v>
      </c>
      <c r="H6" s="39">
        <f t="shared" si="3"/>
        <v>0.2909090909090909</v>
      </c>
      <c r="I6" s="40">
        <f>COUNTIF(Vertices[Out-Degree],"&gt;= "&amp;H6)-COUNTIF(Vertices[Out-Degree],"&gt;="&amp;H7)</f>
        <v>0</v>
      </c>
      <c r="J6" s="39">
        <f t="shared" si="4"/>
        <v>0.8727272727272727</v>
      </c>
      <c r="K6" s="40">
        <f>COUNTIF(Vertices[Betweenness Centrality],"&gt;= "&amp;J6)-COUNTIF(Vertices[Betweenness Centrality],"&gt;="&amp;J7)</f>
        <v>2</v>
      </c>
      <c r="L6" s="39">
        <f t="shared" si="5"/>
        <v>0.20519467272727276</v>
      </c>
      <c r="M6" s="40">
        <f>COUNTIF(Vertices[Closeness Centrality],"&gt;= "&amp;L6)-COUNTIF(Vertices[Closeness Centrality],"&gt;="&amp;L7)</f>
        <v>0</v>
      </c>
      <c r="N6" s="39">
        <f t="shared" si="6"/>
        <v>0.020419854545454544</v>
      </c>
      <c r="O6" s="40">
        <f>COUNTIF(Vertices[Eigenvector Centrality],"&gt;= "&amp;N6)-COUNTIF(Vertices[Eigenvector Centrality],"&gt;="&amp;N7)</f>
        <v>0</v>
      </c>
      <c r="P6" s="39">
        <f t="shared" si="7"/>
        <v>0.7155691818181819</v>
      </c>
      <c r="Q6" s="40">
        <f>COUNTIF(Vertices[PageRank],"&gt;= "&amp;P6)-COUNTIF(Vertices[PageRank],"&gt;="&amp;P7)</f>
        <v>0</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0.2727272727272727</v>
      </c>
      <c r="G7" s="42">
        <f>COUNTIF(Vertices[In-Degree],"&gt;= "&amp;F7)-COUNTIF(Vertices[In-Degree],"&gt;="&amp;F8)</f>
        <v>0</v>
      </c>
      <c r="H7" s="41">
        <f t="shared" si="3"/>
        <v>0.36363636363636365</v>
      </c>
      <c r="I7" s="42">
        <f>COUNTIF(Vertices[Out-Degree],"&gt;= "&amp;H7)-COUNTIF(Vertices[Out-Degree],"&gt;="&amp;H8)</f>
        <v>0</v>
      </c>
      <c r="J7" s="41">
        <f t="shared" si="4"/>
        <v>1.0909090909090908</v>
      </c>
      <c r="K7" s="42">
        <f>COUNTIF(Vertices[Betweenness Centrality],"&gt;= "&amp;J7)-COUNTIF(Vertices[Betweenness Centrality],"&gt;="&amp;J8)</f>
        <v>0</v>
      </c>
      <c r="L7" s="41">
        <f t="shared" si="5"/>
        <v>0.22077909090909095</v>
      </c>
      <c r="M7" s="42">
        <f>COUNTIF(Vertices[Closeness Centrality],"&gt;= "&amp;L7)-COUNTIF(Vertices[Closeness Centrality],"&gt;="&amp;L8)</f>
        <v>0</v>
      </c>
      <c r="N7" s="41">
        <f t="shared" si="6"/>
        <v>0.02552481818181818</v>
      </c>
      <c r="O7" s="42">
        <f>COUNTIF(Vertices[Eigenvector Centrality],"&gt;= "&amp;N7)-COUNTIF(Vertices[Eigenvector Centrality],"&gt;="&amp;N8)</f>
        <v>0</v>
      </c>
      <c r="P7" s="41">
        <f t="shared" si="7"/>
        <v>0.7434387272727273</v>
      </c>
      <c r="Q7" s="42">
        <f>COUNTIF(Vertices[PageRank],"&gt;= "&amp;P7)-COUNTIF(Vertices[PageRank],"&gt;="&amp;P8)</f>
        <v>0</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13</v>
      </c>
      <c r="D8" s="34">
        <f t="shared" si="1"/>
        <v>0</v>
      </c>
      <c r="E8" s="3">
        <f>COUNTIF(Vertices[Degree],"&gt;= "&amp;D8)-COUNTIF(Vertices[Degree],"&gt;="&amp;D9)</f>
        <v>0</v>
      </c>
      <c r="F8" s="39">
        <f t="shared" si="2"/>
        <v>0.32727272727272727</v>
      </c>
      <c r="G8" s="40">
        <f>COUNTIF(Vertices[In-Degree],"&gt;= "&amp;F8)-COUNTIF(Vertices[In-Degree],"&gt;="&amp;F9)</f>
        <v>0</v>
      </c>
      <c r="H8" s="39">
        <f t="shared" si="3"/>
        <v>0.4363636363636364</v>
      </c>
      <c r="I8" s="40">
        <f>COUNTIF(Vertices[Out-Degree],"&gt;= "&amp;H8)-COUNTIF(Vertices[Out-Degree],"&gt;="&amp;H9)</f>
        <v>0</v>
      </c>
      <c r="J8" s="39">
        <f t="shared" si="4"/>
        <v>1.309090909090909</v>
      </c>
      <c r="K8" s="40">
        <f>COUNTIF(Vertices[Betweenness Centrality],"&gt;= "&amp;J8)-COUNTIF(Vertices[Betweenness Centrality],"&gt;="&amp;J9)</f>
        <v>0</v>
      </c>
      <c r="L8" s="39">
        <f t="shared" si="5"/>
        <v>0.23636350909090914</v>
      </c>
      <c r="M8" s="40">
        <f>COUNTIF(Vertices[Closeness Centrality],"&gt;= "&amp;L8)-COUNTIF(Vertices[Closeness Centrality],"&gt;="&amp;L9)</f>
        <v>3</v>
      </c>
      <c r="N8" s="39">
        <f t="shared" si="6"/>
        <v>0.030629781818181816</v>
      </c>
      <c r="O8" s="40">
        <f>COUNTIF(Vertices[Eigenvector Centrality],"&gt;= "&amp;N8)-COUNTIF(Vertices[Eigenvector Centrality],"&gt;="&amp;N9)</f>
        <v>0</v>
      </c>
      <c r="P8" s="39">
        <f t="shared" si="7"/>
        <v>0.7713082727272728</v>
      </c>
      <c r="Q8" s="40">
        <f>COUNTIF(Vertices[PageRank],"&gt;= "&amp;P8)-COUNTIF(Vertices[PageRank],"&gt;="&amp;P9)</f>
        <v>0</v>
      </c>
      <c r="R8" s="39">
        <f t="shared" si="8"/>
        <v>0.1090909090909091</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0.38181818181818183</v>
      </c>
      <c r="G9" s="42">
        <f>COUNTIF(Vertices[In-Degree],"&gt;= "&amp;F9)-COUNTIF(Vertices[In-Degree],"&gt;="&amp;F10)</f>
        <v>0</v>
      </c>
      <c r="H9" s="41">
        <f t="shared" si="3"/>
        <v>0.5090909090909091</v>
      </c>
      <c r="I9" s="42">
        <f>COUNTIF(Vertices[Out-Degree],"&gt;= "&amp;H9)-COUNTIF(Vertices[Out-Degree],"&gt;="&amp;H10)</f>
        <v>0</v>
      </c>
      <c r="J9" s="41">
        <f t="shared" si="4"/>
        <v>1.5272727272727273</v>
      </c>
      <c r="K9" s="42">
        <f>COUNTIF(Vertices[Betweenness Centrality],"&gt;= "&amp;J9)-COUNTIF(Vertices[Betweenness Centrality],"&gt;="&amp;J10)</f>
        <v>0</v>
      </c>
      <c r="L9" s="41">
        <f t="shared" si="5"/>
        <v>0.2519479272727273</v>
      </c>
      <c r="M9" s="42">
        <f>COUNTIF(Vertices[Closeness Centrality],"&gt;= "&amp;L9)-COUNTIF(Vertices[Closeness Centrality],"&gt;="&amp;L10)</f>
        <v>0</v>
      </c>
      <c r="N9" s="41">
        <f t="shared" si="6"/>
        <v>0.035734745454545455</v>
      </c>
      <c r="O9" s="42">
        <f>COUNTIF(Vertices[Eigenvector Centrality],"&gt;= "&amp;N9)-COUNTIF(Vertices[Eigenvector Centrality],"&gt;="&amp;N10)</f>
        <v>0</v>
      </c>
      <c r="P9" s="41">
        <f t="shared" si="7"/>
        <v>0.7991778181818182</v>
      </c>
      <c r="Q9" s="42">
        <f>COUNTIF(Vertices[PageRank],"&gt;= "&amp;P9)-COUNTIF(Vertices[PageRank],"&gt;="&amp;P10)</f>
        <v>2</v>
      </c>
      <c r="R9" s="41">
        <f t="shared" si="8"/>
        <v>0.1272727272727273</v>
      </c>
      <c r="S9" s="46">
        <f>COUNTIF(Vertices[Clustering Coefficient],"&gt;= "&amp;R9)-COUNTIF(Vertices[Clustering Coefficient],"&gt;="&amp;R10)</f>
        <v>0</v>
      </c>
      <c r="T9" s="41" t="e">
        <f ca="1" t="shared" si="9"/>
        <v>#REF!</v>
      </c>
      <c r="U9" s="42" t="e">
        <f ca="1" t="shared" si="0"/>
        <v>#REF!</v>
      </c>
    </row>
    <row r="10" spans="1:21" ht="15">
      <c r="A10" s="36" t="s">
        <v>594</v>
      </c>
      <c r="B10" s="36">
        <v>3</v>
      </c>
      <c r="D10" s="34">
        <f t="shared" si="1"/>
        <v>0</v>
      </c>
      <c r="E10" s="3">
        <f>COUNTIF(Vertices[Degree],"&gt;= "&amp;D10)-COUNTIF(Vertices[Degree],"&gt;="&amp;D11)</f>
        <v>0</v>
      </c>
      <c r="F10" s="39">
        <f t="shared" si="2"/>
        <v>0.4363636363636364</v>
      </c>
      <c r="G10" s="40">
        <f>COUNTIF(Vertices[In-Degree],"&gt;= "&amp;F10)-COUNTIF(Vertices[In-Degree],"&gt;="&amp;F11)</f>
        <v>0</v>
      </c>
      <c r="H10" s="39">
        <f t="shared" si="3"/>
        <v>0.5818181818181819</v>
      </c>
      <c r="I10" s="40">
        <f>COUNTIF(Vertices[Out-Degree],"&gt;= "&amp;H10)-COUNTIF(Vertices[Out-Degree],"&gt;="&amp;H11)</f>
        <v>0</v>
      </c>
      <c r="J10" s="39">
        <f t="shared" si="4"/>
        <v>1.7454545454545456</v>
      </c>
      <c r="K10" s="40">
        <f>COUNTIF(Vertices[Betweenness Centrality],"&gt;= "&amp;J10)-COUNTIF(Vertices[Betweenness Centrality],"&gt;="&amp;J11)</f>
        <v>0</v>
      </c>
      <c r="L10" s="39">
        <f t="shared" si="5"/>
        <v>0.26753234545454546</v>
      </c>
      <c r="M10" s="40">
        <f>COUNTIF(Vertices[Closeness Centrality],"&gt;= "&amp;L10)-COUNTIF(Vertices[Closeness Centrality],"&gt;="&amp;L11)</f>
        <v>0</v>
      </c>
      <c r="N10" s="39">
        <f t="shared" si="6"/>
        <v>0.04083970909090909</v>
      </c>
      <c r="O10" s="40">
        <f>COUNTIF(Vertices[Eigenvector Centrality],"&gt;= "&amp;N10)-COUNTIF(Vertices[Eigenvector Centrality],"&gt;="&amp;N11)</f>
        <v>0</v>
      </c>
      <c r="P10" s="39">
        <f t="shared" si="7"/>
        <v>0.8270473636363637</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0.49090909090909096</v>
      </c>
      <c r="G11" s="42">
        <f>COUNTIF(Vertices[In-Degree],"&gt;= "&amp;F11)-COUNTIF(Vertices[In-Degree],"&gt;="&amp;F12)</f>
        <v>0</v>
      </c>
      <c r="H11" s="41">
        <f t="shared" si="3"/>
        <v>0.6545454545454547</v>
      </c>
      <c r="I11" s="42">
        <f>COUNTIF(Vertices[Out-Degree],"&gt;= "&amp;H11)-COUNTIF(Vertices[Out-Degree],"&gt;="&amp;H12)</f>
        <v>0</v>
      </c>
      <c r="J11" s="41">
        <f t="shared" si="4"/>
        <v>1.9636363636363638</v>
      </c>
      <c r="K11" s="42">
        <f>COUNTIF(Vertices[Betweenness Centrality],"&gt;= "&amp;J11)-COUNTIF(Vertices[Betweenness Centrality],"&gt;="&amp;J12)</f>
        <v>0</v>
      </c>
      <c r="L11" s="41">
        <f t="shared" si="5"/>
        <v>0.2831167636363636</v>
      </c>
      <c r="M11" s="42">
        <f>COUNTIF(Vertices[Closeness Centrality],"&gt;= "&amp;L11)-COUNTIF(Vertices[Closeness Centrality],"&gt;="&amp;L12)</f>
        <v>0</v>
      </c>
      <c r="N11" s="41">
        <f t="shared" si="6"/>
        <v>0.04594467272727272</v>
      </c>
      <c r="O11" s="42">
        <f>COUNTIF(Vertices[Eigenvector Centrality],"&gt;= "&amp;N11)-COUNTIF(Vertices[Eigenvector Centrality],"&gt;="&amp;N12)</f>
        <v>0</v>
      </c>
      <c r="P11" s="41">
        <f t="shared" si="7"/>
        <v>0.8549169090909091</v>
      </c>
      <c r="Q11" s="42">
        <f>COUNTIF(Vertices[PageRank],"&gt;= "&amp;P11)-COUNTIF(Vertices[PageRank],"&gt;="&amp;P12)</f>
        <v>0</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224</v>
      </c>
      <c r="B12" s="36">
        <v>2</v>
      </c>
      <c r="D12" s="34">
        <f t="shared" si="1"/>
        <v>0</v>
      </c>
      <c r="E12" s="3">
        <f>COUNTIF(Vertices[Degree],"&gt;= "&amp;D12)-COUNTIF(Vertices[Degree],"&gt;="&amp;D13)</f>
        <v>0</v>
      </c>
      <c r="F12" s="39">
        <f t="shared" si="2"/>
        <v>0.5454545454545455</v>
      </c>
      <c r="G12" s="40">
        <f>COUNTIF(Vertices[In-Degree],"&gt;= "&amp;F12)-COUNTIF(Vertices[In-Degree],"&gt;="&amp;F13)</f>
        <v>0</v>
      </c>
      <c r="H12" s="39">
        <f t="shared" si="3"/>
        <v>0.7272727272727274</v>
      </c>
      <c r="I12" s="40">
        <f>COUNTIF(Vertices[Out-Degree],"&gt;= "&amp;H12)-COUNTIF(Vertices[Out-Degree],"&gt;="&amp;H13)</f>
        <v>0</v>
      </c>
      <c r="J12" s="39">
        <f t="shared" si="4"/>
        <v>2.181818181818182</v>
      </c>
      <c r="K12" s="40">
        <f>COUNTIF(Vertices[Betweenness Centrality],"&gt;= "&amp;J12)-COUNTIF(Vertices[Betweenness Centrality],"&gt;="&amp;J13)</f>
        <v>0</v>
      </c>
      <c r="L12" s="39">
        <f t="shared" si="5"/>
        <v>0.2987011818181818</v>
      </c>
      <c r="M12" s="40">
        <f>COUNTIF(Vertices[Closeness Centrality],"&gt;= "&amp;L12)-COUNTIF(Vertices[Closeness Centrality],"&gt;="&amp;L13)</f>
        <v>0</v>
      </c>
      <c r="N12" s="39">
        <f t="shared" si="6"/>
        <v>0.05104963636363635</v>
      </c>
      <c r="O12" s="40">
        <f>COUNTIF(Vertices[Eigenvector Centrality],"&gt;= "&amp;N12)-COUNTIF(Vertices[Eigenvector Centrality],"&gt;="&amp;N13)</f>
        <v>0</v>
      </c>
      <c r="P12" s="39">
        <f t="shared" si="7"/>
        <v>0.8827864545454546</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223</v>
      </c>
      <c r="B13" s="36">
        <v>9</v>
      </c>
      <c r="D13" s="34">
        <f t="shared" si="1"/>
        <v>0</v>
      </c>
      <c r="E13" s="3">
        <f>COUNTIF(Vertices[Degree],"&gt;= "&amp;D13)-COUNTIF(Vertices[Degree],"&gt;="&amp;D14)</f>
        <v>0</v>
      </c>
      <c r="F13" s="41">
        <f t="shared" si="2"/>
        <v>0.6000000000000001</v>
      </c>
      <c r="G13" s="42">
        <f>COUNTIF(Vertices[In-Degree],"&gt;= "&amp;F13)-COUNTIF(Vertices[In-Degree],"&gt;="&amp;F14)</f>
        <v>0</v>
      </c>
      <c r="H13" s="41">
        <f t="shared" si="3"/>
        <v>0.8000000000000002</v>
      </c>
      <c r="I13" s="42">
        <f>COUNTIF(Vertices[Out-Degree],"&gt;= "&amp;H13)-COUNTIF(Vertices[Out-Degree],"&gt;="&amp;H14)</f>
        <v>0</v>
      </c>
      <c r="J13" s="41">
        <f t="shared" si="4"/>
        <v>2.4000000000000004</v>
      </c>
      <c r="K13" s="42">
        <f>COUNTIF(Vertices[Betweenness Centrality],"&gt;= "&amp;J13)-COUNTIF(Vertices[Betweenness Centrality],"&gt;="&amp;J14)</f>
        <v>0</v>
      </c>
      <c r="L13" s="41">
        <f t="shared" si="5"/>
        <v>0.31428559999999994</v>
      </c>
      <c r="M13" s="42">
        <f>COUNTIF(Vertices[Closeness Centrality],"&gt;= "&amp;L13)-COUNTIF(Vertices[Closeness Centrality],"&gt;="&amp;L14)</f>
        <v>0</v>
      </c>
      <c r="N13" s="41">
        <f t="shared" si="6"/>
        <v>0.056154599999999985</v>
      </c>
      <c r="O13" s="42">
        <f>COUNTIF(Vertices[Eigenvector Centrality],"&gt;= "&amp;N13)-COUNTIF(Vertices[Eigenvector Centrality],"&gt;="&amp;N14)</f>
        <v>0</v>
      </c>
      <c r="P13" s="41">
        <f t="shared" si="7"/>
        <v>0.910656</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36" t="s">
        <v>176</v>
      </c>
      <c r="B14" s="36">
        <v>2</v>
      </c>
      <c r="D14" s="34">
        <f t="shared" si="1"/>
        <v>0</v>
      </c>
      <c r="E14" s="3">
        <f>COUNTIF(Vertices[Degree],"&gt;= "&amp;D14)-COUNTIF(Vertices[Degree],"&gt;="&amp;D15)</f>
        <v>0</v>
      </c>
      <c r="F14" s="39">
        <f t="shared" si="2"/>
        <v>0.6545454545454547</v>
      </c>
      <c r="G14" s="40">
        <f>COUNTIF(Vertices[In-Degree],"&gt;= "&amp;F14)-COUNTIF(Vertices[In-Degree],"&gt;="&amp;F15)</f>
        <v>0</v>
      </c>
      <c r="H14" s="39">
        <f t="shared" si="3"/>
        <v>0.8727272727272729</v>
      </c>
      <c r="I14" s="40">
        <f>COUNTIF(Vertices[Out-Degree],"&gt;= "&amp;H14)-COUNTIF(Vertices[Out-Degree],"&gt;="&amp;H15)</f>
        <v>0</v>
      </c>
      <c r="J14" s="39">
        <f t="shared" si="4"/>
        <v>2.6181818181818186</v>
      </c>
      <c r="K14" s="40">
        <f>COUNTIF(Vertices[Betweenness Centrality],"&gt;= "&amp;J14)-COUNTIF(Vertices[Betweenness Centrality],"&gt;="&amp;J15)</f>
        <v>0</v>
      </c>
      <c r="L14" s="39">
        <f t="shared" si="5"/>
        <v>0.3298700181818181</v>
      </c>
      <c r="M14" s="40">
        <f>COUNTIF(Vertices[Closeness Centrality],"&gt;= "&amp;L14)-COUNTIF(Vertices[Closeness Centrality],"&gt;="&amp;L15)</f>
        <v>2</v>
      </c>
      <c r="N14" s="39">
        <f t="shared" si="6"/>
        <v>0.06125956363636362</v>
      </c>
      <c r="O14" s="40">
        <f>COUNTIF(Vertices[Eigenvector Centrality],"&gt;= "&amp;N14)-COUNTIF(Vertices[Eigenvector Centrality],"&gt;="&amp;N15)</f>
        <v>0</v>
      </c>
      <c r="P14" s="39">
        <f t="shared" si="7"/>
        <v>0.9385255454545455</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0.7090909090909092</v>
      </c>
      <c r="G15" s="42">
        <f>COUNTIF(Vertices[In-Degree],"&gt;= "&amp;F15)-COUNTIF(Vertices[In-Degree],"&gt;="&amp;F16)</f>
        <v>0</v>
      </c>
      <c r="H15" s="41">
        <f t="shared" si="3"/>
        <v>0.9454545454545457</v>
      </c>
      <c r="I15" s="42">
        <f>COUNTIF(Vertices[Out-Degree],"&gt;= "&amp;H15)-COUNTIF(Vertices[Out-Degree],"&gt;="&amp;H16)</f>
        <v>5</v>
      </c>
      <c r="J15" s="41">
        <f t="shared" si="4"/>
        <v>2.836363636363637</v>
      </c>
      <c r="K15" s="42">
        <f>COUNTIF(Vertices[Betweenness Centrality],"&gt;= "&amp;J15)-COUNTIF(Vertices[Betweenness Centrality],"&gt;="&amp;J16)</f>
        <v>0</v>
      </c>
      <c r="L15" s="41">
        <f t="shared" si="5"/>
        <v>0.34545443636363626</v>
      </c>
      <c r="M15" s="42">
        <f>COUNTIF(Vertices[Closeness Centrality],"&gt;= "&amp;L15)-COUNTIF(Vertices[Closeness Centrality],"&gt;="&amp;L16)</f>
        <v>0</v>
      </c>
      <c r="N15" s="41">
        <f t="shared" si="6"/>
        <v>0.06636452727272725</v>
      </c>
      <c r="O15" s="42">
        <f>COUNTIF(Vertices[Eigenvector Centrality],"&gt;= "&amp;N15)-COUNTIF(Vertices[Eigenvector Centrality],"&gt;="&amp;N16)</f>
        <v>0</v>
      </c>
      <c r="P15" s="41">
        <f t="shared" si="7"/>
        <v>0.9663950909090909</v>
      </c>
      <c r="Q15" s="42">
        <f>COUNTIF(Vertices[PageRank],"&gt;= "&amp;P15)-COUNTIF(Vertices[PageRank],"&gt;="&amp;P16)</f>
        <v>0</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151</v>
      </c>
      <c r="B16" s="36">
        <v>2</v>
      </c>
      <c r="D16" s="34">
        <f t="shared" si="1"/>
        <v>0</v>
      </c>
      <c r="E16" s="3">
        <f>COUNTIF(Vertices[Degree],"&gt;= "&amp;D16)-COUNTIF(Vertices[Degree],"&gt;="&amp;D17)</f>
        <v>0</v>
      </c>
      <c r="F16" s="39">
        <f t="shared" si="2"/>
        <v>0.7636363636363638</v>
      </c>
      <c r="G16" s="40">
        <f>COUNTIF(Vertices[In-Degree],"&gt;= "&amp;F16)-COUNTIF(Vertices[In-Degree],"&gt;="&amp;F17)</f>
        <v>0</v>
      </c>
      <c r="H16" s="39">
        <f t="shared" si="3"/>
        <v>1.0181818181818183</v>
      </c>
      <c r="I16" s="40">
        <f>COUNTIF(Vertices[Out-Degree],"&gt;= "&amp;H16)-COUNTIF(Vertices[Out-Degree],"&gt;="&amp;H17)</f>
        <v>0</v>
      </c>
      <c r="J16" s="39">
        <f t="shared" si="4"/>
        <v>3.054545454545455</v>
      </c>
      <c r="K16" s="40">
        <f>COUNTIF(Vertices[Betweenness Centrality],"&gt;= "&amp;J16)-COUNTIF(Vertices[Betweenness Centrality],"&gt;="&amp;J17)</f>
        <v>0</v>
      </c>
      <c r="L16" s="39">
        <f t="shared" si="5"/>
        <v>0.3610388545454544</v>
      </c>
      <c r="M16" s="40">
        <f>COUNTIF(Vertices[Closeness Centrality],"&gt;= "&amp;L16)-COUNTIF(Vertices[Closeness Centrality],"&gt;="&amp;L17)</f>
        <v>0</v>
      </c>
      <c r="N16" s="39">
        <f t="shared" si="6"/>
        <v>0.07146949090909088</v>
      </c>
      <c r="O16" s="40">
        <f>COUNTIF(Vertices[Eigenvector Centrality],"&gt;= "&amp;N16)-COUNTIF(Vertices[Eigenvector Centrality],"&gt;="&amp;N17)</f>
        <v>0</v>
      </c>
      <c r="P16" s="39">
        <f t="shared" si="7"/>
        <v>0.9942646363636364</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0.8181818181818183</v>
      </c>
      <c r="G17" s="42">
        <f>COUNTIF(Vertices[In-Degree],"&gt;= "&amp;F17)-COUNTIF(Vertices[In-Degree],"&gt;="&amp;F18)</f>
        <v>0</v>
      </c>
      <c r="H17" s="41">
        <f t="shared" si="3"/>
        <v>1.090909090909091</v>
      </c>
      <c r="I17" s="42">
        <f>COUNTIF(Vertices[Out-Degree],"&gt;= "&amp;H17)-COUNTIF(Vertices[Out-Degree],"&gt;="&amp;H18)</f>
        <v>0</v>
      </c>
      <c r="J17" s="41">
        <f t="shared" si="4"/>
        <v>3.2727272727272734</v>
      </c>
      <c r="K17" s="42">
        <f>COUNTIF(Vertices[Betweenness Centrality],"&gt;= "&amp;J17)-COUNTIF(Vertices[Betweenness Centrality],"&gt;="&amp;J18)</f>
        <v>0</v>
      </c>
      <c r="L17" s="41">
        <f t="shared" si="5"/>
        <v>0.3766232727272726</v>
      </c>
      <c r="M17" s="42">
        <f>COUNTIF(Vertices[Closeness Centrality],"&gt;= "&amp;L17)-COUNTIF(Vertices[Closeness Centrality],"&gt;="&amp;L18)</f>
        <v>0</v>
      </c>
      <c r="N17" s="41">
        <f t="shared" si="6"/>
        <v>0.07657445454545452</v>
      </c>
      <c r="O17" s="42">
        <f>COUNTIF(Vertices[Eigenvector Centrality],"&gt;= "&amp;N17)-COUNTIF(Vertices[Eigenvector Centrality],"&gt;="&amp;N18)</f>
        <v>0</v>
      </c>
      <c r="P17" s="41">
        <f t="shared" si="7"/>
        <v>1.0221341818181817</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170</v>
      </c>
      <c r="B18" s="36">
        <v>0.1</v>
      </c>
      <c r="D18" s="34">
        <f t="shared" si="1"/>
        <v>0</v>
      </c>
      <c r="E18" s="3">
        <f>COUNTIF(Vertices[Degree],"&gt;= "&amp;D18)-COUNTIF(Vertices[Degree],"&gt;="&amp;D19)</f>
        <v>0</v>
      </c>
      <c r="F18" s="39">
        <f t="shared" si="2"/>
        <v>0.8727272727272729</v>
      </c>
      <c r="G18" s="40">
        <f>COUNTIF(Vertices[In-Degree],"&gt;= "&amp;F18)-COUNTIF(Vertices[In-Degree],"&gt;="&amp;F19)</f>
        <v>0</v>
      </c>
      <c r="H18" s="39">
        <f t="shared" si="3"/>
        <v>1.1636363636363638</v>
      </c>
      <c r="I18" s="40">
        <f>COUNTIF(Vertices[Out-Degree],"&gt;= "&amp;H18)-COUNTIF(Vertices[Out-Degree],"&gt;="&amp;H19)</f>
        <v>0</v>
      </c>
      <c r="J18" s="39">
        <f t="shared" si="4"/>
        <v>3.4909090909090916</v>
      </c>
      <c r="K18" s="40">
        <f>COUNTIF(Vertices[Betweenness Centrality],"&gt;= "&amp;J18)-COUNTIF(Vertices[Betweenness Centrality],"&gt;="&amp;J19)</f>
        <v>0</v>
      </c>
      <c r="L18" s="39">
        <f t="shared" si="5"/>
        <v>0.39220769090909074</v>
      </c>
      <c r="M18" s="40">
        <f>COUNTIF(Vertices[Closeness Centrality],"&gt;= "&amp;L18)-COUNTIF(Vertices[Closeness Centrality],"&gt;="&amp;L19)</f>
        <v>0</v>
      </c>
      <c r="N18" s="39">
        <f t="shared" si="6"/>
        <v>0.08167941818181815</v>
      </c>
      <c r="O18" s="40">
        <f>COUNTIF(Vertices[Eigenvector Centrality],"&gt;= "&amp;N18)-COUNTIF(Vertices[Eigenvector Centrality],"&gt;="&amp;N19)</f>
        <v>0</v>
      </c>
      <c r="P18" s="39">
        <f t="shared" si="7"/>
        <v>1.0500037272727272</v>
      </c>
      <c r="Q18" s="40">
        <f>COUNTIF(Vertices[PageRank],"&gt;= "&amp;P18)-COUNTIF(Vertices[PageRank],"&gt;="&amp;P19)</f>
        <v>1</v>
      </c>
      <c r="R18" s="39">
        <f t="shared" si="8"/>
        <v>0.29090909090909095</v>
      </c>
      <c r="S18" s="45">
        <f>COUNTIF(Vertices[Clustering Coefficient],"&gt;= "&amp;R18)-COUNTIF(Vertices[Clustering Coefficient],"&gt;="&amp;R19)</f>
        <v>0</v>
      </c>
      <c r="T18" s="39" t="e">
        <f ca="1" t="shared" si="9"/>
        <v>#REF!</v>
      </c>
      <c r="U18" s="40" t="e">
        <f ca="1" t="shared" si="0"/>
        <v>#REF!</v>
      </c>
    </row>
    <row r="19" spans="1:21" ht="15">
      <c r="A19" s="36" t="s">
        <v>171</v>
      </c>
      <c r="B19" s="36">
        <v>0.18181818181818182</v>
      </c>
      <c r="D19" s="34">
        <f t="shared" si="1"/>
        <v>0</v>
      </c>
      <c r="E19" s="3">
        <f>COUNTIF(Vertices[Degree],"&gt;= "&amp;D19)-COUNTIF(Vertices[Degree],"&gt;="&amp;D20)</f>
        <v>0</v>
      </c>
      <c r="F19" s="41">
        <f t="shared" si="2"/>
        <v>0.9272727272727275</v>
      </c>
      <c r="G19" s="42">
        <f>COUNTIF(Vertices[In-Degree],"&gt;= "&amp;F19)-COUNTIF(Vertices[In-Degree],"&gt;="&amp;F20)</f>
        <v>0</v>
      </c>
      <c r="H19" s="41">
        <f t="shared" si="3"/>
        <v>1.2363636363636366</v>
      </c>
      <c r="I19" s="42">
        <f>COUNTIF(Vertices[Out-Degree],"&gt;= "&amp;H19)-COUNTIF(Vertices[Out-Degree],"&gt;="&amp;H20)</f>
        <v>0</v>
      </c>
      <c r="J19" s="41">
        <f t="shared" si="4"/>
        <v>3.70909090909091</v>
      </c>
      <c r="K19" s="42">
        <f>COUNTIF(Vertices[Betweenness Centrality],"&gt;= "&amp;J19)-COUNTIF(Vertices[Betweenness Centrality],"&gt;="&amp;J20)</f>
        <v>0</v>
      </c>
      <c r="L19" s="41">
        <f t="shared" si="5"/>
        <v>0.4077921090909089</v>
      </c>
      <c r="M19" s="42">
        <f>COUNTIF(Vertices[Closeness Centrality],"&gt;= "&amp;L19)-COUNTIF(Vertices[Closeness Centrality],"&gt;="&amp;L20)</f>
        <v>0</v>
      </c>
      <c r="N19" s="41">
        <f t="shared" si="6"/>
        <v>0.08678438181818178</v>
      </c>
      <c r="O19" s="42">
        <f>COUNTIF(Vertices[Eigenvector Centrality],"&gt;= "&amp;N19)-COUNTIF(Vertices[Eigenvector Centrality],"&gt;="&amp;N20)</f>
        <v>0</v>
      </c>
      <c r="P19" s="41">
        <f t="shared" si="7"/>
        <v>1.0778732727272726</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0.981818181818182</v>
      </c>
      <c r="G20" s="40">
        <f>COUNTIF(Vertices[In-Degree],"&gt;= "&amp;F20)-COUNTIF(Vertices[In-Degree],"&gt;="&amp;F21)</f>
        <v>3</v>
      </c>
      <c r="H20" s="39">
        <f t="shared" si="3"/>
        <v>1.3090909090909093</v>
      </c>
      <c r="I20" s="40">
        <f>COUNTIF(Vertices[Out-Degree],"&gt;= "&amp;H20)-COUNTIF(Vertices[Out-Degree],"&gt;="&amp;H21)</f>
        <v>0</v>
      </c>
      <c r="J20" s="39">
        <f t="shared" si="4"/>
        <v>3.927272727272728</v>
      </c>
      <c r="K20" s="40">
        <f>COUNTIF(Vertices[Betweenness Centrality],"&gt;= "&amp;J20)-COUNTIF(Vertices[Betweenness Centrality],"&gt;="&amp;J21)</f>
        <v>0</v>
      </c>
      <c r="L20" s="39">
        <f t="shared" si="5"/>
        <v>0.42337652727272707</v>
      </c>
      <c r="M20" s="40">
        <f>COUNTIF(Vertices[Closeness Centrality],"&gt;= "&amp;L20)-COUNTIF(Vertices[Closeness Centrality],"&gt;="&amp;L21)</f>
        <v>0</v>
      </c>
      <c r="N20" s="39">
        <f t="shared" si="6"/>
        <v>0.09188934545454541</v>
      </c>
      <c r="O20" s="40">
        <f>COUNTIF(Vertices[Eigenvector Centrality],"&gt;= "&amp;N20)-COUNTIF(Vertices[Eigenvector Centrality],"&gt;="&amp;N21)</f>
        <v>0</v>
      </c>
      <c r="P20" s="39">
        <f t="shared" si="7"/>
        <v>1.105742818181818</v>
      </c>
      <c r="Q20" s="40">
        <f>COUNTIF(Vertices[PageRank],"&gt;= "&amp;P20)-COUNTIF(Vertices[PageRank],"&gt;="&amp;P21)</f>
        <v>0</v>
      </c>
      <c r="R20" s="39">
        <f t="shared" si="8"/>
        <v>0.3272727272727273</v>
      </c>
      <c r="S20" s="45">
        <f>COUNTIF(Vertices[Clustering Coefficient],"&gt;= "&amp;R20)-COUNTIF(Vertices[Clustering Coefficient],"&gt;="&amp;R21)</f>
        <v>2</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1.0363636363636366</v>
      </c>
      <c r="G21" s="42">
        <f>COUNTIF(Vertices[In-Degree],"&gt;= "&amp;F21)-COUNTIF(Vertices[In-Degree],"&gt;="&amp;F22)</f>
        <v>0</v>
      </c>
      <c r="H21" s="41">
        <f t="shared" si="3"/>
        <v>1.381818181818182</v>
      </c>
      <c r="I21" s="42">
        <f>COUNTIF(Vertices[Out-Degree],"&gt;= "&amp;H21)-COUNTIF(Vertices[Out-Degree],"&gt;="&amp;H22)</f>
        <v>0</v>
      </c>
      <c r="J21" s="41">
        <f t="shared" si="4"/>
        <v>4.145454545454546</v>
      </c>
      <c r="K21" s="42">
        <f>COUNTIF(Vertices[Betweenness Centrality],"&gt;= "&amp;J21)-COUNTIF(Vertices[Betweenness Centrality],"&gt;="&amp;J22)</f>
        <v>0</v>
      </c>
      <c r="L21" s="41">
        <f t="shared" si="5"/>
        <v>0.4389609454545452</v>
      </c>
      <c r="M21" s="42">
        <f>COUNTIF(Vertices[Closeness Centrality],"&gt;= "&amp;L21)-COUNTIF(Vertices[Closeness Centrality],"&gt;="&amp;L22)</f>
        <v>0</v>
      </c>
      <c r="N21" s="41">
        <f t="shared" si="6"/>
        <v>0.09699430909090904</v>
      </c>
      <c r="O21" s="42">
        <f>COUNTIF(Vertices[Eigenvector Centrality],"&gt;= "&amp;N21)-COUNTIF(Vertices[Eigenvector Centrality],"&gt;="&amp;N22)</f>
        <v>0</v>
      </c>
      <c r="P21" s="41">
        <f t="shared" si="7"/>
        <v>1.1336123636363635</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1.090909090909091</v>
      </c>
      <c r="G22" s="40">
        <f>COUNTIF(Vertices[In-Degree],"&gt;= "&amp;F22)-COUNTIF(Vertices[In-Degree],"&gt;="&amp;F23)</f>
        <v>0</v>
      </c>
      <c r="H22" s="39">
        <f t="shared" si="3"/>
        <v>1.4545454545454548</v>
      </c>
      <c r="I22" s="40">
        <f>COUNTIF(Vertices[Out-Degree],"&gt;= "&amp;H22)-COUNTIF(Vertices[Out-Degree],"&gt;="&amp;H23)</f>
        <v>0</v>
      </c>
      <c r="J22" s="39">
        <f t="shared" si="4"/>
        <v>4.363636363636364</v>
      </c>
      <c r="K22" s="40">
        <f>COUNTIF(Vertices[Betweenness Centrality],"&gt;= "&amp;J22)-COUNTIF(Vertices[Betweenness Centrality],"&gt;="&amp;J23)</f>
        <v>0</v>
      </c>
      <c r="L22" s="39">
        <f t="shared" si="5"/>
        <v>0.4545453636363634</v>
      </c>
      <c r="M22" s="40">
        <f>COUNTIF(Vertices[Closeness Centrality],"&gt;= "&amp;L22)-COUNTIF(Vertices[Closeness Centrality],"&gt;="&amp;L23)</f>
        <v>0</v>
      </c>
      <c r="N22" s="39">
        <f t="shared" si="6"/>
        <v>0.10209927272727268</v>
      </c>
      <c r="O22" s="40">
        <f>COUNTIF(Vertices[Eigenvector Centrality],"&gt;= "&amp;N22)-COUNTIF(Vertices[Eigenvector Centrality],"&gt;="&amp;N23)</f>
        <v>0</v>
      </c>
      <c r="P22" s="39">
        <f t="shared" si="7"/>
        <v>1.161481909090909</v>
      </c>
      <c r="Q22" s="40">
        <f>COUNTIF(Vertices[PageRank],"&gt;= "&amp;P22)-COUNTIF(Vertices[PageRank],"&gt;="&amp;P23)</f>
        <v>2</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154</v>
      </c>
      <c r="B23" s="36">
        <v>5</v>
      </c>
      <c r="D23" s="34">
        <f t="shared" si="1"/>
        <v>0</v>
      </c>
      <c r="E23" s="3">
        <f>COUNTIF(Vertices[Degree],"&gt;= "&amp;D23)-COUNTIF(Vertices[Degree],"&gt;="&amp;D24)</f>
        <v>0</v>
      </c>
      <c r="F23" s="41">
        <f t="shared" si="2"/>
        <v>1.1454545454545455</v>
      </c>
      <c r="G23" s="42">
        <f>COUNTIF(Vertices[In-Degree],"&gt;= "&amp;F23)-COUNTIF(Vertices[In-Degree],"&gt;="&amp;F24)</f>
        <v>0</v>
      </c>
      <c r="H23" s="41">
        <f t="shared" si="3"/>
        <v>1.5272727272727276</v>
      </c>
      <c r="I23" s="42">
        <f>COUNTIF(Vertices[Out-Degree],"&gt;= "&amp;H23)-COUNTIF(Vertices[Out-Degree],"&gt;="&amp;H24)</f>
        <v>0</v>
      </c>
      <c r="J23" s="41">
        <f t="shared" si="4"/>
        <v>4.581818181818182</v>
      </c>
      <c r="K23" s="42">
        <f>COUNTIF(Vertices[Betweenness Centrality],"&gt;= "&amp;J23)-COUNTIF(Vertices[Betweenness Centrality],"&gt;="&amp;J24)</f>
        <v>0</v>
      </c>
      <c r="L23" s="41">
        <f t="shared" si="5"/>
        <v>0.47012978181818155</v>
      </c>
      <c r="M23" s="42">
        <f>COUNTIF(Vertices[Closeness Centrality],"&gt;= "&amp;L23)-COUNTIF(Vertices[Closeness Centrality],"&gt;="&amp;L24)</f>
        <v>0</v>
      </c>
      <c r="N23" s="41">
        <f t="shared" si="6"/>
        <v>0.10720423636363631</v>
      </c>
      <c r="O23" s="42">
        <f>COUNTIF(Vertices[Eigenvector Centrality],"&gt;= "&amp;N23)-COUNTIF(Vertices[Eigenvector Centrality],"&gt;="&amp;N24)</f>
        <v>0</v>
      </c>
      <c r="P23" s="41">
        <f t="shared" si="7"/>
        <v>1.1893514545454544</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155</v>
      </c>
      <c r="B24" s="36">
        <v>6</v>
      </c>
      <c r="D24" s="34">
        <f t="shared" si="1"/>
        <v>0</v>
      </c>
      <c r="E24" s="3">
        <f>COUNTIF(Vertices[Degree],"&gt;= "&amp;D24)-COUNTIF(Vertices[Degree],"&gt;="&amp;D25)</f>
        <v>0</v>
      </c>
      <c r="F24" s="39">
        <f t="shared" si="2"/>
        <v>1.2</v>
      </c>
      <c r="G24" s="40">
        <f>COUNTIF(Vertices[In-Degree],"&gt;= "&amp;F24)-COUNTIF(Vertices[In-Degree],"&gt;="&amp;F25)</f>
        <v>0</v>
      </c>
      <c r="H24" s="39">
        <f t="shared" si="3"/>
        <v>1.6000000000000003</v>
      </c>
      <c r="I24" s="40">
        <f>COUNTIF(Vertices[Out-Degree],"&gt;= "&amp;H24)-COUNTIF(Vertices[Out-Degree],"&gt;="&amp;H25)</f>
        <v>0</v>
      </c>
      <c r="J24" s="39">
        <f t="shared" si="4"/>
        <v>4.8</v>
      </c>
      <c r="K24" s="40">
        <f>COUNTIF(Vertices[Betweenness Centrality],"&gt;= "&amp;J24)-COUNTIF(Vertices[Betweenness Centrality],"&gt;="&amp;J25)</f>
        <v>0</v>
      </c>
      <c r="L24" s="39">
        <f t="shared" si="5"/>
        <v>0.4857141999999997</v>
      </c>
      <c r="M24" s="40">
        <f>COUNTIF(Vertices[Closeness Centrality],"&gt;= "&amp;L24)-COUNTIF(Vertices[Closeness Centrality],"&gt;="&amp;L25)</f>
        <v>0</v>
      </c>
      <c r="N24" s="39">
        <f t="shared" si="6"/>
        <v>0.11230919999999994</v>
      </c>
      <c r="O24" s="40">
        <f>COUNTIF(Vertices[Eigenvector Centrality],"&gt;= "&amp;N24)-COUNTIF(Vertices[Eigenvector Centrality],"&gt;="&amp;N25)</f>
        <v>0</v>
      </c>
      <c r="P24" s="39">
        <f t="shared" si="7"/>
        <v>1.2172209999999999</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1.2545454545454544</v>
      </c>
      <c r="G25" s="42">
        <f>COUNTIF(Vertices[In-Degree],"&gt;= "&amp;F25)-COUNTIF(Vertices[In-Degree],"&gt;="&amp;F26)</f>
        <v>0</v>
      </c>
      <c r="H25" s="41">
        <f t="shared" si="3"/>
        <v>1.672727272727273</v>
      </c>
      <c r="I25" s="42">
        <f>COUNTIF(Vertices[Out-Degree],"&gt;= "&amp;H25)-COUNTIF(Vertices[Out-Degree],"&gt;="&amp;H26)</f>
        <v>0</v>
      </c>
      <c r="J25" s="41">
        <f t="shared" si="4"/>
        <v>5.018181818181818</v>
      </c>
      <c r="K25" s="42">
        <f>COUNTIF(Vertices[Betweenness Centrality],"&gt;= "&amp;J25)-COUNTIF(Vertices[Betweenness Centrality],"&gt;="&amp;J26)</f>
        <v>0</v>
      </c>
      <c r="L25" s="41">
        <f t="shared" si="5"/>
        <v>0.5012986181818179</v>
      </c>
      <c r="M25" s="42">
        <f>COUNTIF(Vertices[Closeness Centrality],"&gt;= "&amp;L25)-COUNTIF(Vertices[Closeness Centrality],"&gt;="&amp;L26)</f>
        <v>0</v>
      </c>
      <c r="N25" s="41">
        <f t="shared" si="6"/>
        <v>0.11741416363636357</v>
      </c>
      <c r="O25" s="42">
        <f>COUNTIF(Vertices[Eigenvector Centrality],"&gt;= "&amp;N25)-COUNTIF(Vertices[Eigenvector Centrality],"&gt;="&amp;N26)</f>
        <v>0</v>
      </c>
      <c r="P25" s="41">
        <f t="shared" si="7"/>
        <v>1.2450905454545453</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1.3090909090909089</v>
      </c>
      <c r="G26" s="40">
        <f>COUNTIF(Vertices[In-Degree],"&gt;= "&amp;F26)-COUNTIF(Vertices[In-Degree],"&gt;="&amp;F28)</f>
        <v>0</v>
      </c>
      <c r="H26" s="39">
        <f t="shared" si="3"/>
        <v>1.7454545454545458</v>
      </c>
      <c r="I26" s="40">
        <f>COUNTIF(Vertices[Out-Degree],"&gt;= "&amp;H26)-COUNTIF(Vertices[Out-Degree],"&gt;="&amp;H28)</f>
        <v>0</v>
      </c>
      <c r="J26" s="39">
        <f t="shared" si="4"/>
        <v>5.236363636363635</v>
      </c>
      <c r="K26" s="40">
        <f>COUNTIF(Vertices[Betweenness Centrality],"&gt;= "&amp;J26)-COUNTIF(Vertices[Betweenness Centrality],"&gt;="&amp;J28)</f>
        <v>0</v>
      </c>
      <c r="L26" s="39">
        <f t="shared" si="5"/>
        <v>0.5168830363636361</v>
      </c>
      <c r="M26" s="40">
        <f>COUNTIF(Vertices[Closeness Centrality],"&gt;= "&amp;L26)-COUNTIF(Vertices[Closeness Centrality],"&gt;="&amp;L28)</f>
        <v>0</v>
      </c>
      <c r="N26" s="39">
        <f t="shared" si="6"/>
        <v>0.12251912727272721</v>
      </c>
      <c r="O26" s="40">
        <f>COUNTIF(Vertices[Eigenvector Centrality],"&gt;= "&amp;N26)-COUNTIF(Vertices[Eigenvector Centrality],"&gt;="&amp;N28)</f>
        <v>0</v>
      </c>
      <c r="P26" s="39">
        <f t="shared" si="7"/>
        <v>1.2729600909090908</v>
      </c>
      <c r="Q26" s="40">
        <f>COUNTIF(Vertices[PageRank],"&gt;= "&amp;P26)-COUNTIF(Vertices[PageRank],"&gt;="&amp;P28)</f>
        <v>1</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1.066667</v>
      </c>
      <c r="D27" s="34"/>
      <c r="E27" s="3">
        <f>COUNTIF(Vertices[Degree],"&gt;= "&amp;D27)-COUNTIF(Vertices[Degree],"&gt;="&amp;D28)</f>
        <v>0</v>
      </c>
      <c r="F27" s="78"/>
      <c r="G27" s="79">
        <f>COUNTIF(Vertices[In-Degree],"&gt;= "&amp;F27)-COUNTIF(Vertices[In-Degree],"&gt;="&amp;F28)</f>
        <v>-4</v>
      </c>
      <c r="H27" s="78"/>
      <c r="I27" s="79">
        <f>COUNTIF(Vertices[Out-Degree],"&gt;= "&amp;H27)-COUNTIF(Vertices[Out-Degree],"&gt;="&amp;H28)</f>
        <v>-3</v>
      </c>
      <c r="J27" s="78"/>
      <c r="K27" s="79">
        <f>COUNTIF(Vertices[Betweenness Centrality],"&gt;= "&amp;J27)-COUNTIF(Vertices[Betweenness Centrality],"&gt;="&amp;J28)</f>
        <v>-1</v>
      </c>
      <c r="L27" s="78"/>
      <c r="M27" s="79">
        <f>COUNTIF(Vertices[Closeness Centrality],"&gt;= "&amp;L27)-COUNTIF(Vertices[Closeness Centrality],"&gt;="&amp;L28)</f>
        <v>-2</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1.8181818181818186</v>
      </c>
      <c r="I28" s="42">
        <f>COUNTIF(Vertices[Out-Degree],"&gt;= "&amp;H28)-COUNTIF(Vertices[Out-Degree],"&gt;="&amp;H40)</f>
        <v>0</v>
      </c>
      <c r="J28" s="41">
        <f>J26+($J$57-$J$2)/BinDivisor</f>
        <v>5.454545454545453</v>
      </c>
      <c r="K28" s="42">
        <f>COUNTIF(Vertices[Betweenness Centrality],"&gt;= "&amp;J28)-COUNTIF(Vertices[Betweenness Centrality],"&gt;="&amp;J40)</f>
        <v>0</v>
      </c>
      <c r="L28" s="41">
        <f>L26+($L$57-$L$2)/BinDivisor</f>
        <v>0.5324674545454543</v>
      </c>
      <c r="M28" s="42">
        <f>COUNTIF(Vertices[Closeness Centrality],"&gt;= "&amp;L28)-COUNTIF(Vertices[Closeness Centrality],"&gt;="&amp;L40)</f>
        <v>0</v>
      </c>
      <c r="N28" s="41">
        <f>N26+($N$57-$N$2)/BinDivisor</f>
        <v>0.12762409090909085</v>
      </c>
      <c r="O28" s="42">
        <f>COUNTIF(Vertices[Eigenvector Centrality],"&gt;= "&amp;N28)-COUNTIF(Vertices[Eigenvector Centrality],"&gt;="&amp;N40)</f>
        <v>0</v>
      </c>
      <c r="P28" s="41">
        <f>P26+($P$57-$P$2)/BinDivisor</f>
        <v>1.3008296363636362</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0.1</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595</v>
      </c>
      <c r="B30" s="36">
        <v>0.565089</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596</v>
      </c>
      <c r="B32" s="36" t="s">
        <v>606</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4"/>
      <c r="B33" s="134"/>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597</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4"/>
      <c r="B35" s="134"/>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598</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599</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600</v>
      </c>
      <c r="B38" s="36" t="s">
        <v>85</v>
      </c>
      <c r="D38" s="34"/>
      <c r="E38" s="3">
        <f>COUNTIF(Vertices[Degree],"&gt;= "&amp;D38)-COUNTIF(Vertices[Degree],"&gt;="&amp;D40)</f>
        <v>0</v>
      </c>
      <c r="F38" s="78"/>
      <c r="G38" s="79">
        <f>COUNTIF(Vertices[In-Degree],"&gt;= "&amp;F38)-COUNTIF(Vertices[In-Degree],"&gt;="&amp;F40)</f>
        <v>-4</v>
      </c>
      <c r="H38" s="78"/>
      <c r="I38" s="79">
        <f>COUNTIF(Vertices[Out-Degree],"&gt;= "&amp;H38)-COUNTIF(Vertices[Out-Degree],"&gt;="&amp;H40)</f>
        <v>-3</v>
      </c>
      <c r="J38" s="78"/>
      <c r="K38" s="79">
        <f>COUNTIF(Vertices[Betweenness Centrality],"&gt;= "&amp;J38)-COUNTIF(Vertices[Betweenness Centrality],"&gt;="&amp;J40)</f>
        <v>-1</v>
      </c>
      <c r="L38" s="78"/>
      <c r="M38" s="79">
        <f>COUNTIF(Vertices[Closeness Centrality],"&gt;= "&amp;L38)-COUNTIF(Vertices[Closeness Centrality],"&gt;="&amp;L40)</f>
        <v>-2</v>
      </c>
      <c r="N38" s="78"/>
      <c r="O38" s="79">
        <f>COUNTIF(Vertices[Eigenvector Centrality],"&gt;= "&amp;N38)-COUNTIF(Vertices[Eigenvector Centrality],"&gt;="&amp;N40)</f>
        <v>-4</v>
      </c>
      <c r="P38" s="78"/>
      <c r="Q38" s="79">
        <f>COUNTIF(Vertices[Eigenvector Centrality],"&gt;= "&amp;P38)-COUNTIF(Vertices[Eigenvector Centrality],"&gt;="&amp;P40)</f>
        <v>0</v>
      </c>
      <c r="R38" s="78"/>
      <c r="S38" s="80">
        <f>COUNTIF(Vertices[Clustering Coefficient],"&gt;= "&amp;R38)-COUNTIF(Vertices[Clustering Coefficient],"&gt;="&amp;R40)</f>
        <v>-2</v>
      </c>
      <c r="T38" s="78"/>
      <c r="U38" s="79">
        <f ca="1">COUNTIF(Vertices[Clustering Coefficient],"&gt;= "&amp;T38)-COUNTIF(Vertices[Clustering Coefficient],"&gt;="&amp;T40)</f>
        <v>0</v>
      </c>
    </row>
    <row r="39" spans="1:21" ht="15">
      <c r="A39" s="36" t="s">
        <v>593</v>
      </c>
      <c r="B39" s="36" t="s">
        <v>85</v>
      </c>
      <c r="D39" s="34"/>
      <c r="E39" s="3">
        <f>COUNTIF(Vertices[Degree],"&gt;= "&amp;D39)-COUNTIF(Vertices[Degree],"&gt;="&amp;D40)</f>
        <v>0</v>
      </c>
      <c r="F39" s="78"/>
      <c r="G39" s="79">
        <f>COUNTIF(Vertices[In-Degree],"&gt;= "&amp;F39)-COUNTIF(Vertices[In-Degree],"&gt;="&amp;F40)</f>
        <v>-4</v>
      </c>
      <c r="H39" s="78"/>
      <c r="I39" s="79">
        <f>COUNTIF(Vertices[Out-Degree],"&gt;= "&amp;H39)-COUNTIF(Vertices[Out-Degree],"&gt;="&amp;H40)</f>
        <v>-3</v>
      </c>
      <c r="J39" s="78"/>
      <c r="K39" s="79">
        <f>COUNTIF(Vertices[Betweenness Centrality],"&gt;= "&amp;J39)-COUNTIF(Vertices[Betweenness Centrality],"&gt;="&amp;J40)</f>
        <v>-1</v>
      </c>
      <c r="L39" s="78"/>
      <c r="M39" s="79">
        <f>COUNTIF(Vertices[Closeness Centrality],"&gt;= "&amp;L39)-COUNTIF(Vertices[Closeness Centrality],"&gt;="&amp;L40)</f>
        <v>-2</v>
      </c>
      <c r="N39" s="78"/>
      <c r="O39" s="79">
        <f>COUNTIF(Vertices[Eigenvector Centrality],"&gt;= "&amp;N39)-COUNTIF(Vertices[Eigenvector Centrality],"&gt;="&amp;N40)</f>
        <v>-4</v>
      </c>
      <c r="P39" s="78"/>
      <c r="Q39" s="79">
        <f>COUNTIF(Vertices[Eigenvector Centrality],"&gt;= "&amp;P39)-COUNTIF(Vertices[Eigenvector Centrality],"&gt;="&amp;P40)</f>
        <v>0</v>
      </c>
      <c r="R39" s="78"/>
      <c r="S39" s="80">
        <f>COUNTIF(Vertices[Clustering Coefficient],"&gt;= "&amp;R39)-COUNTIF(Vertices[Clustering Coefficient],"&gt;="&amp;R40)</f>
        <v>-2</v>
      </c>
      <c r="T39" s="78"/>
      <c r="U39" s="79">
        <f ca="1">COUNTIF(Vertices[Clustering Coefficient],"&gt;= "&amp;T39)-COUNTIF(Vertices[Clustering Coefficient],"&gt;="&amp;T40)</f>
        <v>0</v>
      </c>
    </row>
    <row r="40" spans="1:21" ht="15">
      <c r="A40" s="36" t="s">
        <v>601</v>
      </c>
      <c r="B40" s="36" t="s">
        <v>85</v>
      </c>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1.8909090909090913</v>
      </c>
      <c r="I40" s="40">
        <f>COUNTIF(Vertices[Out-Degree],"&gt;= "&amp;H40)-COUNTIF(Vertices[Out-Degree],"&gt;="&amp;H41)</f>
        <v>0</v>
      </c>
      <c r="J40" s="39">
        <f>J28+($J$57-$J$2)/BinDivisor</f>
        <v>5.672727272727271</v>
      </c>
      <c r="K40" s="40">
        <f>COUNTIF(Vertices[Betweenness Centrality],"&gt;= "&amp;J40)-COUNTIF(Vertices[Betweenness Centrality],"&gt;="&amp;J41)</f>
        <v>0</v>
      </c>
      <c r="L40" s="39">
        <f>L28+($L$57-$L$2)/BinDivisor</f>
        <v>0.5480518727272725</v>
      </c>
      <c r="M40" s="40">
        <f>COUNTIF(Vertices[Closeness Centrality],"&gt;= "&amp;L40)-COUNTIF(Vertices[Closeness Centrality],"&gt;="&amp;L41)</f>
        <v>0</v>
      </c>
      <c r="N40" s="39">
        <f>N28+($N$57-$N$2)/BinDivisor</f>
        <v>0.1327290545454545</v>
      </c>
      <c r="O40" s="40">
        <f>COUNTIF(Vertices[Eigenvector Centrality],"&gt;= "&amp;N40)-COUNTIF(Vertices[Eigenvector Centrality],"&gt;="&amp;N41)</f>
        <v>0</v>
      </c>
      <c r="P40" s="39">
        <f>P28+($P$57-$P$2)/BinDivisor</f>
        <v>1.3286991818181817</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s="36" t="s">
        <v>602</v>
      </c>
      <c r="B41" s="36" t="s">
        <v>85</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1.963636363636364</v>
      </c>
      <c r="I41" s="42">
        <f>COUNTIF(Vertices[Out-Degree],"&gt;= "&amp;H41)-COUNTIF(Vertices[Out-Degree],"&gt;="&amp;H42)</f>
        <v>2</v>
      </c>
      <c r="J41" s="41">
        <f aca="true" t="shared" si="13" ref="J41:J56">J40+($J$57-$J$2)/BinDivisor</f>
        <v>5.890909090909089</v>
      </c>
      <c r="K41" s="42">
        <f>COUNTIF(Vertices[Betweenness Centrality],"&gt;= "&amp;J41)-COUNTIF(Vertices[Betweenness Centrality],"&gt;="&amp;J42)</f>
        <v>0</v>
      </c>
      <c r="L41" s="41">
        <f aca="true" t="shared" si="14" ref="L41:L56">L40+($L$57-$L$2)/BinDivisor</f>
        <v>0.5636362909090907</v>
      </c>
      <c r="M41" s="42">
        <f>COUNTIF(Vertices[Closeness Centrality],"&gt;= "&amp;L41)-COUNTIF(Vertices[Closeness Centrality],"&gt;="&amp;L42)</f>
        <v>0</v>
      </c>
      <c r="N41" s="41">
        <f aca="true" t="shared" si="15" ref="N41:N56">N40+($N$57-$N$2)/BinDivisor</f>
        <v>0.13783401818181815</v>
      </c>
      <c r="O41" s="42">
        <f>COUNTIF(Vertices[Eigenvector Centrality],"&gt;= "&amp;N41)-COUNTIF(Vertices[Eigenvector Centrality],"&gt;="&amp;N42)</f>
        <v>0</v>
      </c>
      <c r="P41" s="41">
        <f aca="true" t="shared" si="16" ref="P41:P56">P40+($P$57-$P$2)/BinDivisor</f>
        <v>1.3565687272727271</v>
      </c>
      <c r="Q41" s="42">
        <f>COUNTIF(Vertices[PageRank],"&gt;= "&amp;P41)-COUNTIF(Vertices[PageRank],"&gt;="&amp;P42)</f>
        <v>0</v>
      </c>
      <c r="R41" s="41">
        <f aca="true" t="shared" si="17" ref="R41:R56">R40+($R$57-$R$2)/BinDivisor</f>
        <v>0.490909090909091</v>
      </c>
      <c r="S41" s="46">
        <f>COUNTIF(Vertices[Clustering Coefficient],"&gt;= "&amp;R41)-COUNTIF(Vertices[Clustering Coefficient],"&gt;="&amp;R42)</f>
        <v>0</v>
      </c>
      <c r="T41" s="41" t="e">
        <f aca="true" t="shared" si="18" ref="T41:T56">T40+($T$57-$T$2)/BinDivisor</f>
        <v>#REF!</v>
      </c>
      <c r="U41" s="42" t="e">
        <f ca="1" t="shared" si="0"/>
        <v>#REF!</v>
      </c>
    </row>
    <row r="42" spans="1:21" ht="15">
      <c r="A42" s="36" t="s">
        <v>603</v>
      </c>
      <c r="B42" s="36" t="s">
        <v>85</v>
      </c>
      <c r="D42" s="34">
        <f t="shared" si="10"/>
        <v>0</v>
      </c>
      <c r="E42" s="3">
        <f>COUNTIF(Vertices[Degree],"&gt;= "&amp;D42)-COUNTIF(Vertices[Degree],"&gt;="&amp;D43)</f>
        <v>0</v>
      </c>
      <c r="F42" s="39">
        <f t="shared" si="11"/>
        <v>1.5272727272727267</v>
      </c>
      <c r="G42" s="40">
        <f>COUNTIF(Vertices[In-Degree],"&gt;= "&amp;F42)-COUNTIF(Vertices[In-Degree],"&gt;="&amp;F43)</f>
        <v>0</v>
      </c>
      <c r="H42" s="39">
        <f t="shared" si="12"/>
        <v>2.0363636363636366</v>
      </c>
      <c r="I42" s="40">
        <f>COUNTIF(Vertices[Out-Degree],"&gt;= "&amp;H42)-COUNTIF(Vertices[Out-Degree],"&gt;="&amp;H43)</f>
        <v>0</v>
      </c>
      <c r="J42" s="39">
        <f t="shared" si="13"/>
        <v>6.109090909090907</v>
      </c>
      <c r="K42" s="40">
        <f>COUNTIF(Vertices[Betweenness Centrality],"&gt;= "&amp;J42)-COUNTIF(Vertices[Betweenness Centrality],"&gt;="&amp;J43)</f>
        <v>0</v>
      </c>
      <c r="L42" s="39">
        <f t="shared" si="14"/>
        <v>0.579220709090909</v>
      </c>
      <c r="M42" s="40">
        <f>COUNTIF(Vertices[Closeness Centrality],"&gt;= "&amp;L42)-COUNTIF(Vertices[Closeness Centrality],"&gt;="&amp;L43)</f>
        <v>0</v>
      </c>
      <c r="N42" s="39">
        <f t="shared" si="15"/>
        <v>0.1429389818181818</v>
      </c>
      <c r="O42" s="40">
        <f>COUNTIF(Vertices[Eigenvector Centrality],"&gt;= "&amp;N42)-COUNTIF(Vertices[Eigenvector Centrality],"&gt;="&amp;N43)</f>
        <v>0</v>
      </c>
      <c r="P42" s="39">
        <f t="shared" si="16"/>
        <v>1.3844382727272726</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6" t="s">
        <v>604</v>
      </c>
      <c r="B43" s="36" t="s">
        <v>85</v>
      </c>
      <c r="D43" s="34">
        <f t="shared" si="10"/>
        <v>0</v>
      </c>
      <c r="E43" s="3">
        <f>COUNTIF(Vertices[Degree],"&gt;= "&amp;D43)-COUNTIF(Vertices[Degree],"&gt;="&amp;D44)</f>
        <v>0</v>
      </c>
      <c r="F43" s="41">
        <f t="shared" si="11"/>
        <v>1.5818181818181811</v>
      </c>
      <c r="G43" s="42">
        <f>COUNTIF(Vertices[In-Degree],"&gt;= "&amp;F43)-COUNTIF(Vertices[In-Degree],"&gt;="&amp;F44)</f>
        <v>0</v>
      </c>
      <c r="H43" s="41">
        <f t="shared" si="12"/>
        <v>2.1090909090909093</v>
      </c>
      <c r="I43" s="42">
        <f>COUNTIF(Vertices[Out-Degree],"&gt;= "&amp;H43)-COUNTIF(Vertices[Out-Degree],"&gt;="&amp;H44)</f>
        <v>0</v>
      </c>
      <c r="J43" s="41">
        <f t="shared" si="13"/>
        <v>6.3272727272727245</v>
      </c>
      <c r="K43" s="42">
        <f>COUNTIF(Vertices[Betweenness Centrality],"&gt;= "&amp;J43)-COUNTIF(Vertices[Betweenness Centrality],"&gt;="&amp;J44)</f>
        <v>0</v>
      </c>
      <c r="L43" s="41">
        <f t="shared" si="14"/>
        <v>0.5948051272727272</v>
      </c>
      <c r="M43" s="42">
        <f>COUNTIF(Vertices[Closeness Centrality],"&gt;= "&amp;L43)-COUNTIF(Vertices[Closeness Centrality],"&gt;="&amp;L44)</f>
        <v>0</v>
      </c>
      <c r="N43" s="41">
        <f t="shared" si="15"/>
        <v>0.14804394545454544</v>
      </c>
      <c r="O43" s="42">
        <f>COUNTIF(Vertices[Eigenvector Centrality],"&gt;= "&amp;N43)-COUNTIF(Vertices[Eigenvector Centrality],"&gt;="&amp;N44)</f>
        <v>0</v>
      </c>
      <c r="P43" s="41">
        <f t="shared" si="16"/>
        <v>1.412307818181818</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6" t="s">
        <v>605</v>
      </c>
      <c r="B44" s="36" t="s">
        <v>85</v>
      </c>
      <c r="D44" s="34">
        <f t="shared" si="10"/>
        <v>0</v>
      </c>
      <c r="E44" s="3">
        <f>COUNTIF(Vertices[Degree],"&gt;= "&amp;D44)-COUNTIF(Vertices[Degree],"&gt;="&amp;D45)</f>
        <v>0</v>
      </c>
      <c r="F44" s="39">
        <f t="shared" si="11"/>
        <v>1.6363636363636356</v>
      </c>
      <c r="G44" s="40">
        <f>COUNTIF(Vertices[In-Degree],"&gt;= "&amp;F44)-COUNTIF(Vertices[In-Degree],"&gt;="&amp;F45)</f>
        <v>0</v>
      </c>
      <c r="H44" s="39">
        <f t="shared" si="12"/>
        <v>2.181818181818182</v>
      </c>
      <c r="I44" s="40">
        <f>COUNTIF(Vertices[Out-Degree],"&gt;= "&amp;H44)-COUNTIF(Vertices[Out-Degree],"&gt;="&amp;H45)</f>
        <v>0</v>
      </c>
      <c r="J44" s="39">
        <f t="shared" si="13"/>
        <v>6.545454545454542</v>
      </c>
      <c r="K44" s="40">
        <f>COUNTIF(Vertices[Betweenness Centrality],"&gt;= "&amp;J44)-COUNTIF(Vertices[Betweenness Centrality],"&gt;="&amp;J45)</f>
        <v>0</v>
      </c>
      <c r="L44" s="39">
        <f t="shared" si="14"/>
        <v>0.6103895454545454</v>
      </c>
      <c r="M44" s="40">
        <f>COUNTIF(Vertices[Closeness Centrality],"&gt;= "&amp;L44)-COUNTIF(Vertices[Closeness Centrality],"&gt;="&amp;L45)</f>
        <v>0</v>
      </c>
      <c r="N44" s="39">
        <f t="shared" si="15"/>
        <v>0.15314890909090909</v>
      </c>
      <c r="O44" s="40">
        <f>COUNTIF(Vertices[Eigenvector Centrality],"&gt;= "&amp;N44)-COUNTIF(Vertices[Eigenvector Centrality],"&gt;="&amp;N45)</f>
        <v>0</v>
      </c>
      <c r="P44" s="39">
        <f t="shared" si="16"/>
        <v>1.4401773636363635</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1:21" ht="15">
      <c r="A45" t="s">
        <v>163</v>
      </c>
      <c r="B45" t="s">
        <v>17</v>
      </c>
      <c r="D45" s="34">
        <f t="shared" si="10"/>
        <v>0</v>
      </c>
      <c r="E45" s="3">
        <f>COUNTIF(Vertices[Degree],"&gt;= "&amp;D45)-COUNTIF(Vertices[Degree],"&gt;="&amp;D46)</f>
        <v>0</v>
      </c>
      <c r="F45" s="41">
        <f t="shared" si="11"/>
        <v>1.69090909090909</v>
      </c>
      <c r="G45" s="42">
        <f>COUNTIF(Vertices[In-Degree],"&gt;= "&amp;F45)-COUNTIF(Vertices[In-Degree],"&gt;="&amp;F46)</f>
        <v>0</v>
      </c>
      <c r="H45" s="41">
        <f t="shared" si="12"/>
        <v>2.254545454545455</v>
      </c>
      <c r="I45" s="42">
        <f>COUNTIF(Vertices[Out-Degree],"&gt;= "&amp;H45)-COUNTIF(Vertices[Out-Degree],"&gt;="&amp;H46)</f>
        <v>0</v>
      </c>
      <c r="J45" s="41">
        <f t="shared" si="13"/>
        <v>6.76363636363636</v>
      </c>
      <c r="K45" s="42">
        <f>COUNTIF(Vertices[Betweenness Centrality],"&gt;= "&amp;J45)-COUNTIF(Vertices[Betweenness Centrality],"&gt;="&amp;J46)</f>
        <v>0</v>
      </c>
      <c r="L45" s="41">
        <f t="shared" si="14"/>
        <v>0.6259739636363636</v>
      </c>
      <c r="M45" s="42">
        <f>COUNTIF(Vertices[Closeness Centrality],"&gt;= "&amp;L45)-COUNTIF(Vertices[Closeness Centrality],"&gt;="&amp;L46)</f>
        <v>0</v>
      </c>
      <c r="N45" s="41">
        <f t="shared" si="15"/>
        <v>0.15825387272727273</v>
      </c>
      <c r="O45" s="42">
        <f>COUNTIF(Vertices[Eigenvector Centrality],"&gt;= "&amp;N45)-COUNTIF(Vertices[Eigenvector Centrality],"&gt;="&amp;N46)</f>
        <v>0</v>
      </c>
      <c r="P45" s="41">
        <f t="shared" si="16"/>
        <v>1.468046909090909</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1:21" ht="15">
      <c r="A46" s="35"/>
      <c r="B46" s="35"/>
      <c r="D46" s="34">
        <f t="shared" si="10"/>
        <v>0</v>
      </c>
      <c r="E46" s="3">
        <f>COUNTIF(Vertices[Degree],"&gt;= "&amp;D46)-COUNTIF(Vertices[Degree],"&gt;="&amp;D47)</f>
        <v>0</v>
      </c>
      <c r="F46" s="39">
        <f t="shared" si="11"/>
        <v>1.7454545454545445</v>
      </c>
      <c r="G46" s="40">
        <f>COUNTIF(Vertices[In-Degree],"&gt;= "&amp;F46)-COUNTIF(Vertices[In-Degree],"&gt;="&amp;F47)</f>
        <v>0</v>
      </c>
      <c r="H46" s="39">
        <f t="shared" si="12"/>
        <v>2.3272727272727276</v>
      </c>
      <c r="I46" s="40">
        <f>COUNTIF(Vertices[Out-Degree],"&gt;= "&amp;H46)-COUNTIF(Vertices[Out-Degree],"&gt;="&amp;H47)</f>
        <v>0</v>
      </c>
      <c r="J46" s="39">
        <f t="shared" si="13"/>
        <v>6.981818181818178</v>
      </c>
      <c r="K46" s="40">
        <f>COUNTIF(Vertices[Betweenness Centrality],"&gt;= "&amp;J46)-COUNTIF(Vertices[Betweenness Centrality],"&gt;="&amp;J47)</f>
        <v>0</v>
      </c>
      <c r="L46" s="39">
        <f t="shared" si="14"/>
        <v>0.6415583818181818</v>
      </c>
      <c r="M46" s="40">
        <f>COUNTIF(Vertices[Closeness Centrality],"&gt;= "&amp;L46)-COUNTIF(Vertices[Closeness Centrality],"&gt;="&amp;L47)</f>
        <v>0</v>
      </c>
      <c r="N46" s="39">
        <f t="shared" si="15"/>
        <v>0.16335883636363638</v>
      </c>
      <c r="O46" s="40">
        <f>COUNTIF(Vertices[Eigenvector Centrality],"&gt;= "&amp;N46)-COUNTIF(Vertices[Eigenvector Centrality],"&gt;="&amp;N47)</f>
        <v>0</v>
      </c>
      <c r="P46" s="39">
        <f t="shared" si="16"/>
        <v>1.4959164545454544</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1:21" ht="15">
      <c r="A47" s="35"/>
      <c r="B47" s="35"/>
      <c r="D47" s="34">
        <f t="shared" si="10"/>
        <v>0</v>
      </c>
      <c r="E47" s="3">
        <f>COUNTIF(Vertices[Degree],"&gt;= "&amp;D47)-COUNTIF(Vertices[Degree],"&gt;="&amp;D48)</f>
        <v>0</v>
      </c>
      <c r="F47" s="41">
        <f t="shared" si="11"/>
        <v>1.799999999999999</v>
      </c>
      <c r="G47" s="42">
        <f>COUNTIF(Vertices[In-Degree],"&gt;= "&amp;F47)-COUNTIF(Vertices[In-Degree],"&gt;="&amp;F48)</f>
        <v>0</v>
      </c>
      <c r="H47" s="41">
        <f t="shared" si="12"/>
        <v>2.4000000000000004</v>
      </c>
      <c r="I47" s="42">
        <f>COUNTIF(Vertices[Out-Degree],"&gt;= "&amp;H47)-COUNTIF(Vertices[Out-Degree],"&gt;="&amp;H48)</f>
        <v>0</v>
      </c>
      <c r="J47" s="41">
        <f t="shared" si="13"/>
        <v>7.199999999999996</v>
      </c>
      <c r="K47" s="42">
        <f>COUNTIF(Vertices[Betweenness Centrality],"&gt;= "&amp;J47)-COUNTIF(Vertices[Betweenness Centrality],"&gt;="&amp;J48)</f>
        <v>0</v>
      </c>
      <c r="L47" s="41">
        <f t="shared" si="14"/>
        <v>0.6571428</v>
      </c>
      <c r="M47" s="42">
        <f>COUNTIF(Vertices[Closeness Centrality],"&gt;= "&amp;L47)-COUNTIF(Vertices[Closeness Centrality],"&gt;="&amp;L48)</f>
        <v>0</v>
      </c>
      <c r="N47" s="41">
        <f t="shared" si="15"/>
        <v>0.16846380000000002</v>
      </c>
      <c r="O47" s="42">
        <f>COUNTIF(Vertices[Eigenvector Centrality],"&gt;= "&amp;N47)-COUNTIF(Vertices[Eigenvector Centrality],"&gt;="&amp;N48)</f>
        <v>0</v>
      </c>
      <c r="P47" s="41">
        <f t="shared" si="16"/>
        <v>1.5237859999999999</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1:21" ht="15">
      <c r="A48" s="35"/>
      <c r="B48" s="35"/>
      <c r="D48" s="34">
        <f t="shared" si="10"/>
        <v>0</v>
      </c>
      <c r="E48" s="3">
        <f>COUNTIF(Vertices[Degree],"&gt;= "&amp;D48)-COUNTIF(Vertices[Degree],"&gt;="&amp;D49)</f>
        <v>0</v>
      </c>
      <c r="F48" s="39">
        <f t="shared" si="11"/>
        <v>1.8545454545454534</v>
      </c>
      <c r="G48" s="40">
        <f>COUNTIF(Vertices[In-Degree],"&gt;= "&amp;F48)-COUNTIF(Vertices[In-Degree],"&gt;="&amp;F49)</f>
        <v>0</v>
      </c>
      <c r="H48" s="39">
        <f t="shared" si="12"/>
        <v>2.472727272727273</v>
      </c>
      <c r="I48" s="40">
        <f>COUNTIF(Vertices[Out-Degree],"&gt;= "&amp;H48)-COUNTIF(Vertices[Out-Degree],"&gt;="&amp;H49)</f>
        <v>0</v>
      </c>
      <c r="J48" s="39">
        <f t="shared" si="13"/>
        <v>7.4181818181818135</v>
      </c>
      <c r="K48" s="40">
        <f>COUNTIF(Vertices[Betweenness Centrality],"&gt;= "&amp;J48)-COUNTIF(Vertices[Betweenness Centrality],"&gt;="&amp;J49)</f>
        <v>0</v>
      </c>
      <c r="L48" s="39">
        <f t="shared" si="14"/>
        <v>0.6727272181818182</v>
      </c>
      <c r="M48" s="40">
        <f>COUNTIF(Vertices[Closeness Centrality],"&gt;= "&amp;L48)-COUNTIF(Vertices[Closeness Centrality],"&gt;="&amp;L49)</f>
        <v>0</v>
      </c>
      <c r="N48" s="39">
        <f t="shared" si="15"/>
        <v>0.17356876363636367</v>
      </c>
      <c r="O48" s="40">
        <f>COUNTIF(Vertices[Eigenvector Centrality],"&gt;= "&amp;N48)-COUNTIF(Vertices[Eigenvector Centrality],"&gt;="&amp;N49)</f>
        <v>0</v>
      </c>
      <c r="P48" s="39">
        <f t="shared" si="16"/>
        <v>1.5516555454545453</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2.545454545454546</v>
      </c>
      <c r="I49" s="42">
        <f>COUNTIF(Vertices[Out-Degree],"&gt;= "&amp;H49)-COUNTIF(Vertices[Out-Degree],"&gt;="&amp;H50)</f>
        <v>0</v>
      </c>
      <c r="J49" s="41">
        <f t="shared" si="13"/>
        <v>7.636363636363631</v>
      </c>
      <c r="K49" s="42">
        <f>COUNTIF(Vertices[Betweenness Centrality],"&gt;= "&amp;J49)-COUNTIF(Vertices[Betweenness Centrality],"&gt;="&amp;J50)</f>
        <v>0</v>
      </c>
      <c r="L49" s="41">
        <f t="shared" si="14"/>
        <v>0.6883116363636365</v>
      </c>
      <c r="M49" s="42">
        <f>COUNTIF(Vertices[Closeness Centrality],"&gt;= "&amp;L49)-COUNTIF(Vertices[Closeness Centrality],"&gt;="&amp;L50)</f>
        <v>0</v>
      </c>
      <c r="N49" s="41">
        <f t="shared" si="15"/>
        <v>0.17867372727272732</v>
      </c>
      <c r="O49" s="42">
        <f>COUNTIF(Vertices[Eigenvector Centrality],"&gt;= "&amp;N49)-COUNTIF(Vertices[Eigenvector Centrality],"&gt;="&amp;N50)</f>
        <v>0</v>
      </c>
      <c r="P49" s="41">
        <f t="shared" si="16"/>
        <v>1.5795250909090908</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2</v>
      </c>
      <c r="H50" s="39">
        <f t="shared" si="12"/>
        <v>2.6181818181818186</v>
      </c>
      <c r="I50" s="40">
        <f>COUNTIF(Vertices[Out-Degree],"&gt;= "&amp;H50)-COUNTIF(Vertices[Out-Degree],"&gt;="&amp;H51)</f>
        <v>0</v>
      </c>
      <c r="J50" s="39">
        <f t="shared" si="13"/>
        <v>7.854545454545449</v>
      </c>
      <c r="K50" s="40">
        <f>COUNTIF(Vertices[Betweenness Centrality],"&gt;= "&amp;J50)-COUNTIF(Vertices[Betweenness Centrality],"&gt;="&amp;J51)</f>
        <v>0</v>
      </c>
      <c r="L50" s="39">
        <f t="shared" si="14"/>
        <v>0.7038960545454547</v>
      </c>
      <c r="M50" s="40">
        <f>COUNTIF(Vertices[Closeness Centrality],"&gt;= "&amp;L50)-COUNTIF(Vertices[Closeness Centrality],"&gt;="&amp;L51)</f>
        <v>0</v>
      </c>
      <c r="N50" s="39">
        <f t="shared" si="15"/>
        <v>0.18377869090909096</v>
      </c>
      <c r="O50" s="40">
        <f>COUNTIF(Vertices[Eigenvector Centrality],"&gt;= "&amp;N50)-COUNTIF(Vertices[Eigenvector Centrality],"&gt;="&amp;N51)</f>
        <v>0</v>
      </c>
      <c r="P50" s="39">
        <f t="shared" si="16"/>
        <v>1.6073946363636362</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2.6909090909090914</v>
      </c>
      <c r="I51" s="42">
        <f>COUNTIF(Vertices[Out-Degree],"&gt;= "&amp;H51)-COUNTIF(Vertices[Out-Degree],"&gt;="&amp;H52)</f>
        <v>0</v>
      </c>
      <c r="J51" s="41">
        <f t="shared" si="13"/>
        <v>8.072727272727267</v>
      </c>
      <c r="K51" s="42">
        <f>COUNTIF(Vertices[Betweenness Centrality],"&gt;= "&amp;J51)-COUNTIF(Vertices[Betweenness Centrality],"&gt;="&amp;J52)</f>
        <v>0</v>
      </c>
      <c r="L51" s="41">
        <f t="shared" si="14"/>
        <v>0.7194804727272729</v>
      </c>
      <c r="M51" s="42">
        <f>COUNTIF(Vertices[Closeness Centrality],"&gt;= "&amp;L51)-COUNTIF(Vertices[Closeness Centrality],"&gt;="&amp;L52)</f>
        <v>0</v>
      </c>
      <c r="N51" s="41">
        <f t="shared" si="15"/>
        <v>0.1888836545454546</v>
      </c>
      <c r="O51" s="42">
        <f>COUNTIF(Vertices[Eigenvector Centrality],"&gt;= "&amp;N51)-COUNTIF(Vertices[Eigenvector Centrality],"&gt;="&amp;N52)</f>
        <v>0</v>
      </c>
      <c r="P51" s="41">
        <f t="shared" si="16"/>
        <v>1.6352641818181817</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2.763636363636364</v>
      </c>
      <c r="I52" s="40">
        <f>COUNTIF(Vertices[Out-Degree],"&gt;= "&amp;H52)-COUNTIF(Vertices[Out-Degree],"&gt;="&amp;H53)</f>
        <v>0</v>
      </c>
      <c r="J52" s="39">
        <f t="shared" si="13"/>
        <v>8.290909090909086</v>
      </c>
      <c r="K52" s="40">
        <f>COUNTIF(Vertices[Betweenness Centrality],"&gt;= "&amp;J52)-COUNTIF(Vertices[Betweenness Centrality],"&gt;="&amp;J53)</f>
        <v>0</v>
      </c>
      <c r="L52" s="39">
        <f t="shared" si="14"/>
        <v>0.7350648909090911</v>
      </c>
      <c r="M52" s="40">
        <f>COUNTIF(Vertices[Closeness Centrality],"&gt;= "&amp;L52)-COUNTIF(Vertices[Closeness Centrality],"&gt;="&amp;L53)</f>
        <v>0</v>
      </c>
      <c r="N52" s="39">
        <f t="shared" si="15"/>
        <v>0.19398861818181826</v>
      </c>
      <c r="O52" s="40">
        <f>COUNTIF(Vertices[Eigenvector Centrality],"&gt;= "&amp;N52)-COUNTIF(Vertices[Eigenvector Centrality],"&gt;="&amp;N53)</f>
        <v>0</v>
      </c>
      <c r="P52" s="39">
        <f t="shared" si="16"/>
        <v>1.6631337272727271</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2.836363636363637</v>
      </c>
      <c r="I53" s="42">
        <f>COUNTIF(Vertices[Out-Degree],"&gt;= "&amp;H53)-COUNTIF(Vertices[Out-Degree],"&gt;="&amp;H54)</f>
        <v>0</v>
      </c>
      <c r="J53" s="41">
        <f t="shared" si="13"/>
        <v>8.509090909090904</v>
      </c>
      <c r="K53" s="42">
        <f>COUNTIF(Vertices[Betweenness Centrality],"&gt;= "&amp;J53)-COUNTIF(Vertices[Betweenness Centrality],"&gt;="&amp;J54)</f>
        <v>0</v>
      </c>
      <c r="L53" s="41">
        <f t="shared" si="14"/>
        <v>0.7506493090909093</v>
      </c>
      <c r="M53" s="42">
        <f>COUNTIF(Vertices[Closeness Centrality],"&gt;= "&amp;L53)-COUNTIF(Vertices[Closeness Centrality],"&gt;="&amp;L54)</f>
        <v>0</v>
      </c>
      <c r="N53" s="41">
        <f t="shared" si="15"/>
        <v>0.1990935818181819</v>
      </c>
      <c r="O53" s="42">
        <f>COUNTIF(Vertices[Eigenvector Centrality],"&gt;= "&amp;N53)-COUNTIF(Vertices[Eigenvector Centrality],"&gt;="&amp;N54)</f>
        <v>0</v>
      </c>
      <c r="P53" s="41">
        <f t="shared" si="16"/>
        <v>1.6910032727272726</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2.9090909090909096</v>
      </c>
      <c r="I54" s="40">
        <f>COUNTIF(Vertices[Out-Degree],"&gt;= "&amp;H54)-COUNTIF(Vertices[Out-Degree],"&gt;="&amp;H55)</f>
        <v>0</v>
      </c>
      <c r="J54" s="39">
        <f t="shared" si="13"/>
        <v>8.727272727272723</v>
      </c>
      <c r="K54" s="40">
        <f>COUNTIF(Vertices[Betweenness Centrality],"&gt;= "&amp;J54)-COUNTIF(Vertices[Betweenness Centrality],"&gt;="&amp;J55)</f>
        <v>0</v>
      </c>
      <c r="L54" s="39">
        <f t="shared" si="14"/>
        <v>0.7662337272727275</v>
      </c>
      <c r="M54" s="40">
        <f>COUNTIF(Vertices[Closeness Centrality],"&gt;= "&amp;L54)-COUNTIF(Vertices[Closeness Centrality],"&gt;="&amp;L55)</f>
        <v>0</v>
      </c>
      <c r="N54" s="39">
        <f t="shared" si="15"/>
        <v>0.20419854545454555</v>
      </c>
      <c r="O54" s="40">
        <f>COUNTIF(Vertices[Eigenvector Centrality],"&gt;= "&amp;N54)-COUNTIF(Vertices[Eigenvector Centrality],"&gt;="&amp;N55)</f>
        <v>0</v>
      </c>
      <c r="P54" s="39">
        <f t="shared" si="16"/>
        <v>1.718872818181818</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2.2363636363636354</v>
      </c>
      <c r="G55" s="42">
        <f>COUNTIF(Vertices[In-Degree],"&gt;= "&amp;F55)-COUNTIF(Vertices[In-Degree],"&gt;="&amp;F56)</f>
        <v>0</v>
      </c>
      <c r="H55" s="41">
        <f t="shared" si="12"/>
        <v>2.9818181818181824</v>
      </c>
      <c r="I55" s="42">
        <f>COUNTIF(Vertices[Out-Degree],"&gt;= "&amp;H55)-COUNTIF(Vertices[Out-Degree],"&gt;="&amp;H56)</f>
        <v>0</v>
      </c>
      <c r="J55" s="41">
        <f t="shared" si="13"/>
        <v>8.945454545454542</v>
      </c>
      <c r="K55" s="42">
        <f>COUNTIF(Vertices[Betweenness Centrality],"&gt;= "&amp;J55)-COUNTIF(Vertices[Betweenness Centrality],"&gt;="&amp;J56)</f>
        <v>0</v>
      </c>
      <c r="L55" s="41">
        <f t="shared" si="14"/>
        <v>0.7818181454545458</v>
      </c>
      <c r="M55" s="42">
        <f>COUNTIF(Vertices[Closeness Centrality],"&gt;= "&amp;L55)-COUNTIF(Vertices[Closeness Centrality],"&gt;="&amp;L56)</f>
        <v>0</v>
      </c>
      <c r="N55" s="41">
        <f t="shared" si="15"/>
        <v>0.2093035090909092</v>
      </c>
      <c r="O55" s="42">
        <f>COUNTIF(Vertices[Eigenvector Centrality],"&gt;= "&amp;N55)-COUNTIF(Vertices[Eigenvector Centrality],"&gt;="&amp;N56)</f>
        <v>0</v>
      </c>
      <c r="P55" s="41">
        <f t="shared" si="16"/>
        <v>1.7467423636363635</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2.29090909090909</v>
      </c>
      <c r="G56" s="40">
        <f>COUNTIF(Vertices[In-Degree],"&gt;= "&amp;F56)-COUNTIF(Vertices[In-Degree],"&gt;="&amp;F57)</f>
        <v>0</v>
      </c>
      <c r="H56" s="39">
        <f t="shared" si="12"/>
        <v>3.054545454545455</v>
      </c>
      <c r="I56" s="40">
        <f>COUNTIF(Vertices[Out-Degree],"&gt;= "&amp;H56)-COUNTIF(Vertices[Out-Degree],"&gt;="&amp;H57)</f>
        <v>0</v>
      </c>
      <c r="J56" s="39">
        <f t="shared" si="13"/>
        <v>9.16363636363636</v>
      </c>
      <c r="K56" s="40">
        <f>COUNTIF(Vertices[Betweenness Centrality],"&gt;= "&amp;J56)-COUNTIF(Vertices[Betweenness Centrality],"&gt;="&amp;J57)</f>
        <v>0</v>
      </c>
      <c r="L56" s="39">
        <f t="shared" si="14"/>
        <v>0.797402563636364</v>
      </c>
      <c r="M56" s="40">
        <f>COUNTIF(Vertices[Closeness Centrality],"&gt;= "&amp;L56)-COUNTIF(Vertices[Closeness Centrality],"&gt;="&amp;L57)</f>
        <v>0</v>
      </c>
      <c r="N56" s="39">
        <f t="shared" si="15"/>
        <v>0.21440847272727284</v>
      </c>
      <c r="O56" s="40">
        <f>COUNTIF(Vertices[Eigenvector Centrality],"&gt;= "&amp;N56)-COUNTIF(Vertices[Eigenvector Centrality],"&gt;="&amp;N57)</f>
        <v>2</v>
      </c>
      <c r="P56" s="39">
        <f t="shared" si="16"/>
        <v>1.774611909090909</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4:21" ht="15">
      <c r="D57" s="34">
        <f>MAX(Vertices[Degree])</f>
        <v>0</v>
      </c>
      <c r="E57" s="3">
        <f>COUNTIF(Vertices[Degree],"&gt;= "&amp;D57)-COUNTIF(Vertices[Degree],"&gt;="&amp;D58)</f>
        <v>0</v>
      </c>
      <c r="F57" s="43">
        <f>MAX(Vertices[In-Degree])</f>
        <v>3</v>
      </c>
      <c r="G57" s="44">
        <f>COUNTIF(Vertices[In-Degree],"&gt;= "&amp;F57)-COUNTIF(Vertices[In-Degree],"&gt;="&amp;F58)</f>
        <v>2</v>
      </c>
      <c r="H57" s="43">
        <f>MAX(Vertices[Out-Degree])</f>
        <v>4</v>
      </c>
      <c r="I57" s="44">
        <f>COUNTIF(Vertices[Out-Degree],"&gt;= "&amp;H57)-COUNTIF(Vertices[Out-Degree],"&gt;="&amp;H58)</f>
        <v>1</v>
      </c>
      <c r="J57" s="43">
        <f>MAX(Vertices[Betweenness Centrality])</f>
        <v>12</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0.280773</v>
      </c>
      <c r="O57" s="44">
        <f>COUNTIF(Vertices[Eigenvector Centrality],"&gt;= "&amp;N57)-COUNTIF(Vertices[Eigenvector Centrality],"&gt;="&amp;N58)</f>
        <v>2</v>
      </c>
      <c r="P57" s="43">
        <f>MAX(Vertices[PageRank])</f>
        <v>2.136916</v>
      </c>
      <c r="Q57" s="44">
        <f>COUNTIF(Vertices[PageRank],"&gt;= "&amp;P57)-COUNTIF(Vertices[PageRank],"&gt;="&amp;P58)</f>
        <v>1</v>
      </c>
      <c r="R57" s="43">
        <f>MAX(Vertices[Clustering Coefficient])</f>
        <v>1</v>
      </c>
      <c r="S57" s="47">
        <f>COUNTIF(Vertices[Clustering Coefficient],"&gt;= "&amp;R57)-COUNTIF(Vertices[Clustering Coefficient],"&gt;="&amp;R58)</f>
        <v>2</v>
      </c>
      <c r="T57" s="43" t="e">
        <f ca="1">MAX(INDIRECT(DynamicFilterSourceColumnRange))</f>
        <v>#REF!</v>
      </c>
      <c r="U57" s="44" t="e">
        <f ca="1" t="shared" si="0"/>
        <v>#REF!</v>
      </c>
    </row>
    <row r="59" spans="1:2" ht="15">
      <c r="A59" s="35" t="s">
        <v>81</v>
      </c>
      <c r="B59" s="48" t="str">
        <f>IF(COUNT(Vertices[Degree])&gt;0,D2,NoMetricMessage)</f>
        <v>Not Available</v>
      </c>
    </row>
    <row r="60" spans="1:2" ht="15">
      <c r="A60" s="35" t="s">
        <v>82</v>
      </c>
      <c r="B60" s="48" t="str">
        <f>IF(COUNT(Vertices[Degree])&gt;0,D57,NoMetricMessage)</f>
        <v>Not Available</v>
      </c>
    </row>
    <row r="61" spans="1:2" ht="15">
      <c r="A61" s="35" t="s">
        <v>83</v>
      </c>
      <c r="B61" s="49" t="str">
        <f>_xlfn.IFERROR(AVERAGE(Vertices[Degree]),NoMetricMessage)</f>
        <v>Not Available</v>
      </c>
    </row>
    <row r="62" spans="1:2" ht="15">
      <c r="A62" s="35" t="s">
        <v>84</v>
      </c>
      <c r="B62" s="49" t="str">
        <f>_xlfn.IFERROR(MEDIAN(Vertices[Degree]),NoMetricMessage)</f>
        <v>Not Available</v>
      </c>
    </row>
    <row r="73" spans="1:2" ht="15">
      <c r="A73" s="35" t="s">
        <v>88</v>
      </c>
      <c r="B73" s="48">
        <f>IF(COUNT(Vertices[In-Degree])&gt;0,F2,NoMetricMessage)</f>
        <v>0</v>
      </c>
    </row>
    <row r="74" spans="1:2" ht="15">
      <c r="A74" s="35" t="s">
        <v>89</v>
      </c>
      <c r="B74" s="48">
        <f>IF(COUNT(Vertices[In-Degree])&gt;0,F57,NoMetricMessage)</f>
        <v>3</v>
      </c>
    </row>
    <row r="75" spans="1:2" ht="15">
      <c r="A75" s="35" t="s">
        <v>90</v>
      </c>
      <c r="B75" s="49">
        <f>_xlfn.IFERROR(AVERAGE(Vertices[In-Degree]),NoMetricMessage)</f>
        <v>1.1818181818181819</v>
      </c>
    </row>
    <row r="76" spans="1:2" ht="15">
      <c r="A76" s="35" t="s">
        <v>91</v>
      </c>
      <c r="B76" s="49">
        <f>_xlfn.IFERROR(MEDIAN(Vertices[In-Degree]),NoMetricMessage)</f>
        <v>1</v>
      </c>
    </row>
    <row r="87" spans="1:2" ht="15">
      <c r="A87" s="35" t="s">
        <v>94</v>
      </c>
      <c r="B87" s="48">
        <f>IF(COUNT(Vertices[Out-Degree])&gt;0,H2,NoMetricMessage)</f>
        <v>0</v>
      </c>
    </row>
    <row r="88" spans="1:2" ht="15">
      <c r="A88" s="35" t="s">
        <v>95</v>
      </c>
      <c r="B88" s="48">
        <f>IF(COUNT(Vertices[Out-Degree])&gt;0,H57,NoMetricMessage)</f>
        <v>4</v>
      </c>
    </row>
    <row r="89" spans="1:2" ht="15">
      <c r="A89" s="35" t="s">
        <v>96</v>
      </c>
      <c r="B89" s="49">
        <f>_xlfn.IFERROR(AVERAGE(Vertices[Out-Degree]),NoMetricMessage)</f>
        <v>1.1818181818181819</v>
      </c>
    </row>
    <row r="90" spans="1:2" ht="15">
      <c r="A90" s="35" t="s">
        <v>97</v>
      </c>
      <c r="B90" s="49">
        <f>_xlfn.IFERROR(MEDIAN(Vertices[Out-Degree]),NoMetricMessage)</f>
        <v>1</v>
      </c>
    </row>
    <row r="101" spans="1:2" ht="15">
      <c r="A101" s="35" t="s">
        <v>100</v>
      </c>
      <c r="B101" s="49">
        <f>IF(COUNT(Vertices[Betweenness Centrality])&gt;0,J2,NoMetricMessage)</f>
        <v>0</v>
      </c>
    </row>
    <row r="102" spans="1:2" ht="15">
      <c r="A102" s="35" t="s">
        <v>101</v>
      </c>
      <c r="B102" s="49">
        <f>IF(COUNT(Vertices[Betweenness Centrality])&gt;0,J57,NoMetricMessage)</f>
        <v>12</v>
      </c>
    </row>
    <row r="103" spans="1:2" ht="15">
      <c r="A103" s="35" t="s">
        <v>102</v>
      </c>
      <c r="B103" s="49">
        <f>_xlfn.IFERROR(AVERAGE(Vertices[Betweenness Centrality]),NoMetricMessage)</f>
        <v>1.2727272727272727</v>
      </c>
    </row>
    <row r="104" spans="1:2" ht="15">
      <c r="A104" s="35" t="s">
        <v>103</v>
      </c>
      <c r="B104" s="49">
        <f>_xlfn.IFERROR(MEDIAN(Vertices[Betweenness Centrality]),NoMetricMessage)</f>
        <v>0</v>
      </c>
    </row>
    <row r="115" spans="1:2" ht="15">
      <c r="A115" s="35" t="s">
        <v>106</v>
      </c>
      <c r="B115" s="49">
        <f>IF(COUNT(Vertices[Closeness Centrality])&gt;0,L2,NoMetricMessage)</f>
        <v>0.142857</v>
      </c>
    </row>
    <row r="116" spans="1:2" ht="15">
      <c r="A116" s="35" t="s">
        <v>107</v>
      </c>
      <c r="B116" s="49">
        <f>IF(COUNT(Vertices[Closeness Centrality])&gt;0,L57,NoMetricMessage)</f>
        <v>1</v>
      </c>
    </row>
    <row r="117" spans="1:2" ht="15">
      <c r="A117" s="35" t="s">
        <v>108</v>
      </c>
      <c r="B117" s="49">
        <f>_xlfn.IFERROR(AVERAGE(Vertices[Closeness Centrality]),NoMetricMessage)</f>
        <v>0.3625540000000001</v>
      </c>
    </row>
    <row r="118" spans="1:2" ht="15">
      <c r="A118" s="35" t="s">
        <v>109</v>
      </c>
      <c r="B118" s="49">
        <f>_xlfn.IFERROR(MEDIAN(Vertices[Closeness Centrality]),NoMetricMessage)</f>
        <v>0.25</v>
      </c>
    </row>
    <row r="129" spans="1:2" ht="15">
      <c r="A129" s="35" t="s">
        <v>112</v>
      </c>
      <c r="B129" s="49">
        <f>IF(COUNT(Vertices[Eigenvector Centrality])&gt;0,N2,NoMetricMessage)</f>
        <v>0</v>
      </c>
    </row>
    <row r="130" spans="1:2" ht="15">
      <c r="A130" s="35" t="s">
        <v>113</v>
      </c>
      <c r="B130" s="49">
        <f>IF(COUNT(Vertices[Eigenvector Centrality])&gt;0,N57,NoMetricMessage)</f>
        <v>0.280773</v>
      </c>
    </row>
    <row r="131" spans="1:2" ht="15">
      <c r="A131" s="35" t="s">
        <v>114</v>
      </c>
      <c r="B131" s="49">
        <f>_xlfn.IFERROR(AVERAGE(Vertices[Eigenvector Centrality]),NoMetricMessage)</f>
        <v>0.09090927272727271</v>
      </c>
    </row>
    <row r="132" spans="1:2" ht="15">
      <c r="A132" s="35" t="s">
        <v>115</v>
      </c>
      <c r="B132" s="49">
        <f>_xlfn.IFERROR(MEDIAN(Vertices[Eigenvector Centrality]),NoMetricMessage)</f>
        <v>4E-06</v>
      </c>
    </row>
    <row r="143" spans="1:2" ht="15">
      <c r="A143" s="35" t="s">
        <v>140</v>
      </c>
      <c r="B143" s="49">
        <f>IF(COUNT(Vertices[PageRank])&gt;0,P2,NoMetricMessage)</f>
        <v>0.604091</v>
      </c>
    </row>
    <row r="144" spans="1:2" ht="15">
      <c r="A144" s="35" t="s">
        <v>141</v>
      </c>
      <c r="B144" s="49">
        <f>IF(COUNT(Vertices[PageRank])&gt;0,P57,NoMetricMessage)</f>
        <v>2.136916</v>
      </c>
    </row>
    <row r="145" spans="1:2" ht="15">
      <c r="A145" s="35" t="s">
        <v>142</v>
      </c>
      <c r="B145" s="49">
        <f>_xlfn.IFERROR(AVERAGE(Vertices[PageRank]),NoMetricMessage)</f>
        <v>0.999955</v>
      </c>
    </row>
    <row r="146" spans="1:2" ht="15">
      <c r="A146" s="35" t="s">
        <v>143</v>
      </c>
      <c r="B146" s="49">
        <f>_xlfn.IFERROR(MEDIAN(Vertices[PageRank]),NoMetricMessage)</f>
        <v>0.819113</v>
      </c>
    </row>
    <row r="157" spans="1:2" ht="15">
      <c r="A157" s="35" t="s">
        <v>118</v>
      </c>
      <c r="B157" s="49">
        <f>IF(COUNT(Vertices[Clustering Coefficient])&gt;0,R2,NoMetricMessage)</f>
        <v>0</v>
      </c>
    </row>
    <row r="158" spans="1:2" ht="15">
      <c r="A158" s="35" t="s">
        <v>119</v>
      </c>
      <c r="B158" s="49">
        <f>IF(COUNT(Vertices[Clustering Coefficient])&gt;0,R57,NoMetricMessage)</f>
        <v>1</v>
      </c>
    </row>
    <row r="159" spans="1:2" ht="15">
      <c r="A159" s="35" t="s">
        <v>120</v>
      </c>
      <c r="B159" s="49">
        <f>_xlfn.IFERROR(AVERAGE(Vertices[Clustering Coefficient]),NoMetricMessage)</f>
        <v>0.2424242424242424</v>
      </c>
    </row>
    <row r="160" spans="1:2" ht="15">
      <c r="A160" s="35" t="s">
        <v>121</v>
      </c>
      <c r="B160"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382</v>
      </c>
      <c r="K7" s="13" t="s">
        <v>383</v>
      </c>
    </row>
    <row r="8" spans="1:11" ht="409.5">
      <c r="A8"/>
      <c r="B8">
        <v>2</v>
      </c>
      <c r="C8">
        <v>2</v>
      </c>
      <c r="D8" t="s">
        <v>61</v>
      </c>
      <c r="E8" t="s">
        <v>61</v>
      </c>
      <c r="H8" t="s">
        <v>73</v>
      </c>
      <c r="J8" t="s">
        <v>384</v>
      </c>
      <c r="K8" s="13" t="s">
        <v>385</v>
      </c>
    </row>
    <row r="9" spans="1:11" ht="409.5">
      <c r="A9"/>
      <c r="B9">
        <v>3</v>
      </c>
      <c r="C9">
        <v>4</v>
      </c>
      <c r="D9" t="s">
        <v>62</v>
      </c>
      <c r="E9" t="s">
        <v>62</v>
      </c>
      <c r="H9" t="s">
        <v>74</v>
      </c>
      <c r="J9" t="s">
        <v>386</v>
      </c>
      <c r="K9" s="13" t="s">
        <v>387</v>
      </c>
    </row>
    <row r="10" spans="1:11" ht="409.5">
      <c r="A10"/>
      <c r="B10">
        <v>4</v>
      </c>
      <c r="D10" t="s">
        <v>63</v>
      </c>
      <c r="E10" t="s">
        <v>63</v>
      </c>
      <c r="H10" t="s">
        <v>75</v>
      </c>
      <c r="J10" t="s">
        <v>388</v>
      </c>
      <c r="K10" s="13" t="s">
        <v>389</v>
      </c>
    </row>
    <row r="11" spans="1:11" ht="15">
      <c r="A11"/>
      <c r="B11">
        <v>5</v>
      </c>
      <c r="D11" t="s">
        <v>46</v>
      </c>
      <c r="E11">
        <v>1</v>
      </c>
      <c r="H11" t="s">
        <v>76</v>
      </c>
      <c r="J11" t="s">
        <v>390</v>
      </c>
      <c r="K11" t="s">
        <v>391</v>
      </c>
    </row>
    <row r="12" spans="1:11" ht="15">
      <c r="A12"/>
      <c r="B12"/>
      <c r="D12" t="s">
        <v>64</v>
      </c>
      <c r="E12">
        <v>2</v>
      </c>
      <c r="H12">
        <v>0</v>
      </c>
      <c r="J12" t="s">
        <v>392</v>
      </c>
      <c r="K12" t="s">
        <v>393</v>
      </c>
    </row>
    <row r="13" spans="1:11" ht="15">
      <c r="A13"/>
      <c r="B13"/>
      <c r="D13">
        <v>1</v>
      </c>
      <c r="E13">
        <v>3</v>
      </c>
      <c r="H13">
        <v>1</v>
      </c>
      <c r="J13" t="s">
        <v>394</v>
      </c>
      <c r="K13" t="s">
        <v>395</v>
      </c>
    </row>
    <row r="14" spans="4:11" ht="15">
      <c r="D14">
        <v>2</v>
      </c>
      <c r="E14">
        <v>4</v>
      </c>
      <c r="H14">
        <v>2</v>
      </c>
      <c r="J14" t="s">
        <v>396</v>
      </c>
      <c r="K14" t="s">
        <v>397</v>
      </c>
    </row>
    <row r="15" spans="4:11" ht="15">
      <c r="D15">
        <v>3</v>
      </c>
      <c r="E15">
        <v>5</v>
      </c>
      <c r="H15">
        <v>3</v>
      </c>
      <c r="J15" t="s">
        <v>398</v>
      </c>
      <c r="K15" t="s">
        <v>399</v>
      </c>
    </row>
    <row r="16" spans="4:11" ht="15">
      <c r="D16">
        <v>4</v>
      </c>
      <c r="E16">
        <v>6</v>
      </c>
      <c r="H16">
        <v>4</v>
      </c>
      <c r="J16" t="s">
        <v>400</v>
      </c>
      <c r="K16" t="s">
        <v>401</v>
      </c>
    </row>
    <row r="17" spans="4:11" ht="15">
      <c r="D17">
        <v>5</v>
      </c>
      <c r="E17">
        <v>7</v>
      </c>
      <c r="H17">
        <v>5</v>
      </c>
      <c r="J17" t="s">
        <v>402</v>
      </c>
      <c r="K17" t="s">
        <v>403</v>
      </c>
    </row>
    <row r="18" spans="4:11" ht="15">
      <c r="D18">
        <v>6</v>
      </c>
      <c r="E18">
        <v>8</v>
      </c>
      <c r="H18">
        <v>6</v>
      </c>
      <c r="J18" t="s">
        <v>404</v>
      </c>
      <c r="K18" t="s">
        <v>405</v>
      </c>
    </row>
    <row r="19" spans="4:11" ht="15">
      <c r="D19">
        <v>7</v>
      </c>
      <c r="E19">
        <v>9</v>
      </c>
      <c r="H19">
        <v>7</v>
      </c>
      <c r="J19" t="s">
        <v>406</v>
      </c>
      <c r="K19" t="s">
        <v>407</v>
      </c>
    </row>
    <row r="20" spans="4:11" ht="15">
      <c r="D20">
        <v>8</v>
      </c>
      <c r="H20">
        <v>8</v>
      </c>
      <c r="J20" t="s">
        <v>408</v>
      </c>
      <c r="K20" t="s">
        <v>409</v>
      </c>
    </row>
    <row r="21" spans="4:11" ht="409.5">
      <c r="D21">
        <v>9</v>
      </c>
      <c r="H21">
        <v>9</v>
      </c>
      <c r="J21" t="s">
        <v>410</v>
      </c>
      <c r="K21" s="13" t="s">
        <v>411</v>
      </c>
    </row>
    <row r="22" spans="4:11" ht="409.5">
      <c r="D22">
        <v>10</v>
      </c>
      <c r="J22" t="s">
        <v>412</v>
      </c>
      <c r="K22" s="13" t="s">
        <v>413</v>
      </c>
    </row>
    <row r="23" spans="4:11" ht="409.5">
      <c r="D23">
        <v>11</v>
      </c>
      <c r="J23" t="s">
        <v>414</v>
      </c>
      <c r="K23" s="13" t="s">
        <v>415</v>
      </c>
    </row>
    <row r="24" spans="10:11" ht="409.5">
      <c r="J24" t="s">
        <v>416</v>
      </c>
      <c r="K24" s="13" t="s">
        <v>629</v>
      </c>
    </row>
    <row r="25" spans="10:11" ht="15">
      <c r="J25" t="s">
        <v>417</v>
      </c>
      <c r="K25" t="b">
        <v>0</v>
      </c>
    </row>
    <row r="26" spans="10:11" ht="15">
      <c r="J26" t="s">
        <v>627</v>
      </c>
      <c r="K26" t="s">
        <v>628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428</v>
      </c>
      <c r="B1" s="13" t="s">
        <v>429</v>
      </c>
      <c r="C1" s="13" t="s">
        <v>430</v>
      </c>
      <c r="D1" s="13" t="s">
        <v>432</v>
      </c>
      <c r="E1" s="13" t="s">
        <v>431</v>
      </c>
      <c r="F1" s="13" t="s">
        <v>434</v>
      </c>
      <c r="G1" s="85" t="s">
        <v>433</v>
      </c>
      <c r="H1" s="85" t="s">
        <v>435</v>
      </c>
    </row>
    <row r="2" spans="1:8" ht="15">
      <c r="A2" s="90" t="s">
        <v>233</v>
      </c>
      <c r="B2" s="85">
        <v>2</v>
      </c>
      <c r="C2" s="90" t="s">
        <v>233</v>
      </c>
      <c r="D2" s="85">
        <v>2</v>
      </c>
      <c r="E2" s="90" t="s">
        <v>234</v>
      </c>
      <c r="F2" s="85">
        <v>1</v>
      </c>
      <c r="G2" s="85"/>
      <c r="H2" s="85"/>
    </row>
    <row r="3" spans="1:8" ht="15">
      <c r="A3" s="90" t="s">
        <v>234</v>
      </c>
      <c r="B3" s="85">
        <v>1</v>
      </c>
      <c r="C3" s="85"/>
      <c r="D3" s="85"/>
      <c r="E3" s="85"/>
      <c r="F3" s="85"/>
      <c r="G3" s="85"/>
      <c r="H3" s="85"/>
    </row>
    <row r="6" spans="1:8" ht="15" customHeight="1">
      <c r="A6" s="13" t="s">
        <v>437</v>
      </c>
      <c r="B6" s="13" t="s">
        <v>429</v>
      </c>
      <c r="C6" s="13" t="s">
        <v>438</v>
      </c>
      <c r="D6" s="13" t="s">
        <v>432</v>
      </c>
      <c r="E6" s="13" t="s">
        <v>439</v>
      </c>
      <c r="F6" s="13" t="s">
        <v>434</v>
      </c>
      <c r="G6" s="85" t="s">
        <v>440</v>
      </c>
      <c r="H6" s="85" t="s">
        <v>435</v>
      </c>
    </row>
    <row r="7" spans="1:8" ht="15">
      <c r="A7" s="85" t="s">
        <v>235</v>
      </c>
      <c r="B7" s="85">
        <v>3</v>
      </c>
      <c r="C7" s="85" t="s">
        <v>235</v>
      </c>
      <c r="D7" s="85">
        <v>2</v>
      </c>
      <c r="E7" s="85" t="s">
        <v>235</v>
      </c>
      <c r="F7" s="85">
        <v>1</v>
      </c>
      <c r="G7" s="85"/>
      <c r="H7" s="85"/>
    </row>
    <row r="10" spans="1:8" ht="15" customHeight="1">
      <c r="A10" s="13" t="s">
        <v>442</v>
      </c>
      <c r="B10" s="13" t="s">
        <v>429</v>
      </c>
      <c r="C10" s="13" t="s">
        <v>447</v>
      </c>
      <c r="D10" s="13" t="s">
        <v>432</v>
      </c>
      <c r="E10" s="13" t="s">
        <v>448</v>
      </c>
      <c r="F10" s="13" t="s">
        <v>434</v>
      </c>
      <c r="G10" s="13" t="s">
        <v>449</v>
      </c>
      <c r="H10" s="13" t="s">
        <v>435</v>
      </c>
    </row>
    <row r="11" spans="1:8" ht="15">
      <c r="A11" s="85" t="s">
        <v>238</v>
      </c>
      <c r="B11" s="85">
        <v>9</v>
      </c>
      <c r="C11" s="85" t="s">
        <v>238</v>
      </c>
      <c r="D11" s="85">
        <v>3</v>
      </c>
      <c r="E11" s="85" t="s">
        <v>238</v>
      </c>
      <c r="F11" s="85">
        <v>4</v>
      </c>
      <c r="G11" s="85" t="s">
        <v>444</v>
      </c>
      <c r="H11" s="85">
        <v>2</v>
      </c>
    </row>
    <row r="12" spans="1:8" ht="15">
      <c r="A12" s="85" t="s">
        <v>443</v>
      </c>
      <c r="B12" s="85">
        <v>4</v>
      </c>
      <c r="C12" s="85"/>
      <c r="D12" s="85"/>
      <c r="E12" s="85" t="s">
        <v>443</v>
      </c>
      <c r="F12" s="85">
        <v>4</v>
      </c>
      <c r="G12" s="85" t="s">
        <v>445</v>
      </c>
      <c r="H12" s="85">
        <v>2</v>
      </c>
    </row>
    <row r="13" spans="1:8" ht="15">
      <c r="A13" s="85" t="s">
        <v>444</v>
      </c>
      <c r="B13" s="85">
        <v>2</v>
      </c>
      <c r="C13" s="85"/>
      <c r="D13" s="85"/>
      <c r="E13" s="85"/>
      <c r="F13" s="85"/>
      <c r="G13" s="85" t="s">
        <v>446</v>
      </c>
      <c r="H13" s="85">
        <v>2</v>
      </c>
    </row>
    <row r="14" spans="1:8" ht="15">
      <c r="A14" s="85" t="s">
        <v>445</v>
      </c>
      <c r="B14" s="85">
        <v>2</v>
      </c>
      <c r="C14" s="85"/>
      <c r="D14" s="85"/>
      <c r="E14" s="85"/>
      <c r="F14" s="85"/>
      <c r="G14" s="85" t="s">
        <v>238</v>
      </c>
      <c r="H14" s="85">
        <v>2</v>
      </c>
    </row>
    <row r="15" spans="1:8" ht="15">
      <c r="A15" s="85" t="s">
        <v>446</v>
      </c>
      <c r="B15" s="85">
        <v>2</v>
      </c>
      <c r="C15" s="85"/>
      <c r="D15" s="85"/>
      <c r="E15" s="85"/>
      <c r="F15" s="85"/>
      <c r="G15" s="85"/>
      <c r="H15" s="85"/>
    </row>
    <row r="18" spans="1:8" ht="15" customHeight="1">
      <c r="A18" s="13" t="s">
        <v>451</v>
      </c>
      <c r="B18" s="13" t="s">
        <v>429</v>
      </c>
      <c r="C18" s="13" t="s">
        <v>461</v>
      </c>
      <c r="D18" s="13" t="s">
        <v>432</v>
      </c>
      <c r="E18" s="13" t="s">
        <v>468</v>
      </c>
      <c r="F18" s="13" t="s">
        <v>434</v>
      </c>
      <c r="G18" s="13" t="s">
        <v>474</v>
      </c>
      <c r="H18" s="13" t="s">
        <v>435</v>
      </c>
    </row>
    <row r="19" spans="1:8" ht="15">
      <c r="A19" s="91" t="s">
        <v>452</v>
      </c>
      <c r="B19" s="91">
        <v>11</v>
      </c>
      <c r="C19" s="91" t="s">
        <v>459</v>
      </c>
      <c r="D19" s="91">
        <v>3</v>
      </c>
      <c r="E19" s="91" t="s">
        <v>457</v>
      </c>
      <c r="F19" s="91">
        <v>4</v>
      </c>
      <c r="G19" s="91" t="s">
        <v>475</v>
      </c>
      <c r="H19" s="91">
        <v>2</v>
      </c>
    </row>
    <row r="20" spans="1:8" ht="15">
      <c r="A20" s="91" t="s">
        <v>453</v>
      </c>
      <c r="B20" s="91">
        <v>0</v>
      </c>
      <c r="C20" s="91" t="s">
        <v>457</v>
      </c>
      <c r="D20" s="91">
        <v>3</v>
      </c>
      <c r="E20" s="91" t="s">
        <v>458</v>
      </c>
      <c r="F20" s="91">
        <v>4</v>
      </c>
      <c r="G20" s="91" t="s">
        <v>476</v>
      </c>
      <c r="H20" s="91">
        <v>2</v>
      </c>
    </row>
    <row r="21" spans="1:8" ht="15">
      <c r="A21" s="91" t="s">
        <v>454</v>
      </c>
      <c r="B21" s="91">
        <v>0</v>
      </c>
      <c r="C21" s="91" t="s">
        <v>462</v>
      </c>
      <c r="D21" s="91">
        <v>2</v>
      </c>
      <c r="E21" s="91" t="s">
        <v>218</v>
      </c>
      <c r="F21" s="91">
        <v>3</v>
      </c>
      <c r="G21" s="91" t="s">
        <v>477</v>
      </c>
      <c r="H21" s="91">
        <v>2</v>
      </c>
    </row>
    <row r="22" spans="1:8" ht="15">
      <c r="A22" s="91" t="s">
        <v>455</v>
      </c>
      <c r="B22" s="91">
        <v>128</v>
      </c>
      <c r="C22" s="91" t="s">
        <v>463</v>
      </c>
      <c r="D22" s="91">
        <v>2</v>
      </c>
      <c r="E22" s="91" t="s">
        <v>460</v>
      </c>
      <c r="F22" s="91">
        <v>3</v>
      </c>
      <c r="G22" s="91" t="s">
        <v>478</v>
      </c>
      <c r="H22" s="91">
        <v>2</v>
      </c>
    </row>
    <row r="23" spans="1:8" ht="15">
      <c r="A23" s="91" t="s">
        <v>456</v>
      </c>
      <c r="B23" s="91">
        <v>139</v>
      </c>
      <c r="C23" s="91" t="s">
        <v>464</v>
      </c>
      <c r="D23" s="91">
        <v>2</v>
      </c>
      <c r="E23" s="91" t="s">
        <v>219</v>
      </c>
      <c r="F23" s="91">
        <v>3</v>
      </c>
      <c r="G23" s="91" t="s">
        <v>479</v>
      </c>
      <c r="H23" s="91">
        <v>2</v>
      </c>
    </row>
    <row r="24" spans="1:8" ht="15">
      <c r="A24" s="91" t="s">
        <v>457</v>
      </c>
      <c r="B24" s="91">
        <v>9</v>
      </c>
      <c r="C24" s="91" t="s">
        <v>465</v>
      </c>
      <c r="D24" s="91">
        <v>2</v>
      </c>
      <c r="E24" s="91" t="s">
        <v>469</v>
      </c>
      <c r="F24" s="91">
        <v>3</v>
      </c>
      <c r="G24" s="91" t="s">
        <v>480</v>
      </c>
      <c r="H24" s="91">
        <v>2</v>
      </c>
    </row>
    <row r="25" spans="1:8" ht="15">
      <c r="A25" s="91" t="s">
        <v>458</v>
      </c>
      <c r="B25" s="91">
        <v>4</v>
      </c>
      <c r="C25" s="91" t="s">
        <v>466</v>
      </c>
      <c r="D25" s="91">
        <v>2</v>
      </c>
      <c r="E25" s="91" t="s">
        <v>470</v>
      </c>
      <c r="F25" s="91">
        <v>3</v>
      </c>
      <c r="G25" s="91" t="s">
        <v>457</v>
      </c>
      <c r="H25" s="91">
        <v>2</v>
      </c>
    </row>
    <row r="26" spans="1:8" ht="15">
      <c r="A26" s="91" t="s">
        <v>459</v>
      </c>
      <c r="B26" s="91">
        <v>3</v>
      </c>
      <c r="C26" s="91" t="s">
        <v>467</v>
      </c>
      <c r="D26" s="91">
        <v>2</v>
      </c>
      <c r="E26" s="91" t="s">
        <v>471</v>
      </c>
      <c r="F26" s="91">
        <v>3</v>
      </c>
      <c r="G26" s="91"/>
      <c r="H26" s="91"/>
    </row>
    <row r="27" spans="1:8" ht="15">
      <c r="A27" s="91" t="s">
        <v>218</v>
      </c>
      <c r="B27" s="91">
        <v>3</v>
      </c>
      <c r="C27" s="91"/>
      <c r="D27" s="91"/>
      <c r="E27" s="91" t="s">
        <v>472</v>
      </c>
      <c r="F27" s="91">
        <v>3</v>
      </c>
      <c r="G27" s="91"/>
      <c r="H27" s="91"/>
    </row>
    <row r="28" spans="1:8" ht="15">
      <c r="A28" s="91" t="s">
        <v>460</v>
      </c>
      <c r="B28" s="91">
        <v>3</v>
      </c>
      <c r="C28" s="91"/>
      <c r="D28" s="91"/>
      <c r="E28" s="91" t="s">
        <v>473</v>
      </c>
      <c r="F28" s="91">
        <v>3</v>
      </c>
      <c r="G28" s="91"/>
      <c r="H28" s="91"/>
    </row>
    <row r="31" spans="1:8" ht="15" customHeight="1">
      <c r="A31" s="13" t="s">
        <v>485</v>
      </c>
      <c r="B31" s="13" t="s">
        <v>429</v>
      </c>
      <c r="C31" s="13" t="s">
        <v>496</v>
      </c>
      <c r="D31" s="13" t="s">
        <v>432</v>
      </c>
      <c r="E31" s="13" t="s">
        <v>503</v>
      </c>
      <c r="F31" s="13" t="s">
        <v>434</v>
      </c>
      <c r="G31" s="13" t="s">
        <v>505</v>
      </c>
      <c r="H31" s="13" t="s">
        <v>435</v>
      </c>
    </row>
    <row r="32" spans="1:8" ht="15">
      <c r="A32" s="91" t="s">
        <v>486</v>
      </c>
      <c r="B32" s="91">
        <v>3</v>
      </c>
      <c r="C32" s="91" t="s">
        <v>486</v>
      </c>
      <c r="D32" s="91">
        <v>3</v>
      </c>
      <c r="E32" s="91" t="s">
        <v>487</v>
      </c>
      <c r="F32" s="91">
        <v>3</v>
      </c>
      <c r="G32" s="91" t="s">
        <v>506</v>
      </c>
      <c r="H32" s="91">
        <v>2</v>
      </c>
    </row>
    <row r="33" spans="1:8" ht="15">
      <c r="A33" s="91" t="s">
        <v>487</v>
      </c>
      <c r="B33" s="91">
        <v>3</v>
      </c>
      <c r="C33" s="91" t="s">
        <v>497</v>
      </c>
      <c r="D33" s="91">
        <v>2</v>
      </c>
      <c r="E33" s="91" t="s">
        <v>488</v>
      </c>
      <c r="F33" s="91">
        <v>3</v>
      </c>
      <c r="G33" s="91" t="s">
        <v>507</v>
      </c>
      <c r="H33" s="91">
        <v>2</v>
      </c>
    </row>
    <row r="34" spans="1:8" ht="15">
      <c r="A34" s="91" t="s">
        <v>488</v>
      </c>
      <c r="B34" s="91">
        <v>3</v>
      </c>
      <c r="C34" s="91" t="s">
        <v>498</v>
      </c>
      <c r="D34" s="91">
        <v>2</v>
      </c>
      <c r="E34" s="91" t="s">
        <v>489</v>
      </c>
      <c r="F34" s="91">
        <v>3</v>
      </c>
      <c r="G34" s="91" t="s">
        <v>508</v>
      </c>
      <c r="H34" s="91">
        <v>2</v>
      </c>
    </row>
    <row r="35" spans="1:8" ht="15">
      <c r="A35" s="91" t="s">
        <v>489</v>
      </c>
      <c r="B35" s="91">
        <v>3</v>
      </c>
      <c r="C35" s="91" t="s">
        <v>499</v>
      </c>
      <c r="D35" s="91">
        <v>2</v>
      </c>
      <c r="E35" s="91" t="s">
        <v>490</v>
      </c>
      <c r="F35" s="91">
        <v>3</v>
      </c>
      <c r="G35" s="91" t="s">
        <v>509</v>
      </c>
      <c r="H35" s="91">
        <v>2</v>
      </c>
    </row>
    <row r="36" spans="1:8" ht="15">
      <c r="A36" s="91" t="s">
        <v>490</v>
      </c>
      <c r="B36" s="91">
        <v>3</v>
      </c>
      <c r="C36" s="91" t="s">
        <v>500</v>
      </c>
      <c r="D36" s="91">
        <v>2</v>
      </c>
      <c r="E36" s="91" t="s">
        <v>491</v>
      </c>
      <c r="F36" s="91">
        <v>3</v>
      </c>
      <c r="G36" s="91" t="s">
        <v>510</v>
      </c>
      <c r="H36" s="91">
        <v>2</v>
      </c>
    </row>
    <row r="37" spans="1:8" ht="15">
      <c r="A37" s="91" t="s">
        <v>491</v>
      </c>
      <c r="B37" s="91">
        <v>3</v>
      </c>
      <c r="C37" s="91" t="s">
        <v>501</v>
      </c>
      <c r="D37" s="91">
        <v>2</v>
      </c>
      <c r="E37" s="91" t="s">
        <v>492</v>
      </c>
      <c r="F37" s="91">
        <v>3</v>
      </c>
      <c r="G37" s="91" t="s">
        <v>511</v>
      </c>
      <c r="H37" s="91">
        <v>2</v>
      </c>
    </row>
    <row r="38" spans="1:8" ht="15">
      <c r="A38" s="91" t="s">
        <v>492</v>
      </c>
      <c r="B38" s="91">
        <v>3</v>
      </c>
      <c r="C38" s="91" t="s">
        <v>502</v>
      </c>
      <c r="D38" s="91">
        <v>2</v>
      </c>
      <c r="E38" s="91" t="s">
        <v>493</v>
      </c>
      <c r="F38" s="91">
        <v>3</v>
      </c>
      <c r="G38" s="91"/>
      <c r="H38" s="91"/>
    </row>
    <row r="39" spans="1:8" ht="15">
      <c r="A39" s="91" t="s">
        <v>493</v>
      </c>
      <c r="B39" s="91">
        <v>3</v>
      </c>
      <c r="C39" s="91"/>
      <c r="D39" s="91"/>
      <c r="E39" s="91" t="s">
        <v>494</v>
      </c>
      <c r="F39" s="91">
        <v>3</v>
      </c>
      <c r="G39" s="91"/>
      <c r="H39" s="91"/>
    </row>
    <row r="40" spans="1:8" ht="15">
      <c r="A40" s="91" t="s">
        <v>494</v>
      </c>
      <c r="B40" s="91">
        <v>3</v>
      </c>
      <c r="C40" s="91"/>
      <c r="D40" s="91"/>
      <c r="E40" s="91" t="s">
        <v>495</v>
      </c>
      <c r="F40" s="91">
        <v>3</v>
      </c>
      <c r="G40" s="91"/>
      <c r="H40" s="91"/>
    </row>
    <row r="41" spans="1:8" ht="15">
      <c r="A41" s="91" t="s">
        <v>495</v>
      </c>
      <c r="B41" s="91">
        <v>3</v>
      </c>
      <c r="C41" s="91"/>
      <c r="D41" s="91"/>
      <c r="E41" s="91" t="s">
        <v>504</v>
      </c>
      <c r="F41" s="91">
        <v>2</v>
      </c>
      <c r="G41" s="91"/>
      <c r="H41" s="91"/>
    </row>
    <row r="44" spans="1:8" ht="15" customHeight="1">
      <c r="A44" s="13" t="s">
        <v>516</v>
      </c>
      <c r="B44" s="13" t="s">
        <v>429</v>
      </c>
      <c r="C44" s="13" t="s">
        <v>518</v>
      </c>
      <c r="D44" s="13" t="s">
        <v>432</v>
      </c>
      <c r="E44" s="13" t="s">
        <v>519</v>
      </c>
      <c r="F44" s="13" t="s">
        <v>434</v>
      </c>
      <c r="G44" s="85" t="s">
        <v>522</v>
      </c>
      <c r="H44" s="85" t="s">
        <v>435</v>
      </c>
    </row>
    <row r="45" spans="1:8" ht="15">
      <c r="A45" s="85" t="s">
        <v>222</v>
      </c>
      <c r="B45" s="85">
        <v>1</v>
      </c>
      <c r="C45" s="85" t="s">
        <v>222</v>
      </c>
      <c r="D45" s="85">
        <v>1</v>
      </c>
      <c r="E45" s="85" t="s">
        <v>218</v>
      </c>
      <c r="F45" s="85">
        <v>1</v>
      </c>
      <c r="G45" s="85"/>
      <c r="H45" s="85"/>
    </row>
    <row r="46" spans="1:8" ht="15">
      <c r="A46" s="85" t="s">
        <v>218</v>
      </c>
      <c r="B46" s="85">
        <v>1</v>
      </c>
      <c r="C46" s="85"/>
      <c r="D46" s="85"/>
      <c r="E46" s="85"/>
      <c r="F46" s="85"/>
      <c r="G46" s="85"/>
      <c r="H46" s="85"/>
    </row>
    <row r="49" spans="1:8" ht="15" customHeight="1">
      <c r="A49" s="13" t="s">
        <v>517</v>
      </c>
      <c r="B49" s="13" t="s">
        <v>429</v>
      </c>
      <c r="C49" s="13" t="s">
        <v>520</v>
      </c>
      <c r="D49" s="13" t="s">
        <v>432</v>
      </c>
      <c r="E49" s="13" t="s">
        <v>521</v>
      </c>
      <c r="F49" s="13" t="s">
        <v>434</v>
      </c>
      <c r="G49" s="13" t="s">
        <v>523</v>
      </c>
      <c r="H49" s="13" t="s">
        <v>435</v>
      </c>
    </row>
    <row r="50" spans="1:8" ht="15">
      <c r="A50" s="85" t="s">
        <v>219</v>
      </c>
      <c r="B50" s="85">
        <v>3</v>
      </c>
      <c r="C50" s="85" t="s">
        <v>221</v>
      </c>
      <c r="D50" s="85">
        <v>1</v>
      </c>
      <c r="E50" s="85" t="s">
        <v>219</v>
      </c>
      <c r="F50" s="85">
        <v>3</v>
      </c>
      <c r="G50" s="85" t="s">
        <v>212</v>
      </c>
      <c r="H50" s="85">
        <v>1</v>
      </c>
    </row>
    <row r="51" spans="1:8" ht="15">
      <c r="A51" s="85" t="s">
        <v>218</v>
      </c>
      <c r="B51" s="85">
        <v>2</v>
      </c>
      <c r="C51" s="85" t="s">
        <v>220</v>
      </c>
      <c r="D51" s="85">
        <v>1</v>
      </c>
      <c r="E51" s="85" t="s">
        <v>218</v>
      </c>
      <c r="F51" s="85">
        <v>2</v>
      </c>
      <c r="G51" s="85"/>
      <c r="H51" s="85"/>
    </row>
    <row r="52" spans="1:8" ht="15">
      <c r="A52" s="85" t="s">
        <v>221</v>
      </c>
      <c r="B52" s="85">
        <v>1</v>
      </c>
      <c r="C52" s="85" t="s">
        <v>216</v>
      </c>
      <c r="D52" s="85">
        <v>1</v>
      </c>
      <c r="E52" s="85"/>
      <c r="F52" s="85"/>
      <c r="G52" s="85"/>
      <c r="H52" s="85"/>
    </row>
    <row r="53" spans="1:8" ht="15">
      <c r="A53" s="85" t="s">
        <v>220</v>
      </c>
      <c r="B53" s="85">
        <v>1</v>
      </c>
      <c r="C53" s="85"/>
      <c r="D53" s="85"/>
      <c r="E53" s="85"/>
      <c r="F53" s="85"/>
      <c r="G53" s="85"/>
      <c r="H53" s="85"/>
    </row>
    <row r="54" spans="1:8" ht="15">
      <c r="A54" s="85" t="s">
        <v>216</v>
      </c>
      <c r="B54" s="85">
        <v>1</v>
      </c>
      <c r="C54" s="85"/>
      <c r="D54" s="85"/>
      <c r="E54" s="85"/>
      <c r="F54" s="85"/>
      <c r="G54" s="85"/>
      <c r="H54" s="85"/>
    </row>
    <row r="55" spans="1:8" ht="15">
      <c r="A55" s="85" t="s">
        <v>212</v>
      </c>
      <c r="B55" s="85">
        <v>1</v>
      </c>
      <c r="C55" s="85"/>
      <c r="D55" s="85"/>
      <c r="E55" s="85"/>
      <c r="F55" s="85"/>
      <c r="G55" s="85"/>
      <c r="H55" s="85"/>
    </row>
    <row r="58" spans="1:8" ht="15" customHeight="1">
      <c r="A58" s="13" t="s">
        <v>528</v>
      </c>
      <c r="B58" s="13" t="s">
        <v>429</v>
      </c>
      <c r="C58" s="13" t="s">
        <v>529</v>
      </c>
      <c r="D58" s="13" t="s">
        <v>432</v>
      </c>
      <c r="E58" s="13" t="s">
        <v>530</v>
      </c>
      <c r="F58" s="13" t="s">
        <v>434</v>
      </c>
      <c r="G58" s="13" t="s">
        <v>531</v>
      </c>
      <c r="H58" s="13" t="s">
        <v>435</v>
      </c>
    </row>
    <row r="59" spans="1:8" ht="15">
      <c r="A59" s="124" t="s">
        <v>213</v>
      </c>
      <c r="B59" s="85">
        <v>106272</v>
      </c>
      <c r="C59" s="124" t="s">
        <v>220</v>
      </c>
      <c r="D59" s="85">
        <v>10242</v>
      </c>
      <c r="E59" s="124" t="s">
        <v>215</v>
      </c>
      <c r="F59" s="85">
        <v>67826</v>
      </c>
      <c r="G59" s="124" t="s">
        <v>213</v>
      </c>
      <c r="H59" s="85">
        <v>106272</v>
      </c>
    </row>
    <row r="60" spans="1:8" ht="15">
      <c r="A60" s="124" t="s">
        <v>215</v>
      </c>
      <c r="B60" s="85">
        <v>67826</v>
      </c>
      <c r="C60" s="124" t="s">
        <v>222</v>
      </c>
      <c r="D60" s="85">
        <v>2102</v>
      </c>
      <c r="E60" s="124" t="s">
        <v>218</v>
      </c>
      <c r="F60" s="85">
        <v>41175</v>
      </c>
      <c r="G60" s="124" t="s">
        <v>212</v>
      </c>
      <c r="H60" s="85">
        <v>23941</v>
      </c>
    </row>
    <row r="61" spans="1:8" ht="15">
      <c r="A61" s="124" t="s">
        <v>218</v>
      </c>
      <c r="B61" s="85">
        <v>41175</v>
      </c>
      <c r="C61" s="124" t="s">
        <v>217</v>
      </c>
      <c r="D61" s="85">
        <v>1714</v>
      </c>
      <c r="E61" s="124" t="s">
        <v>214</v>
      </c>
      <c r="F61" s="85">
        <v>17195</v>
      </c>
      <c r="G61" s="124"/>
      <c r="H61" s="85"/>
    </row>
    <row r="62" spans="1:8" ht="15">
      <c r="A62" s="124" t="s">
        <v>212</v>
      </c>
      <c r="B62" s="85">
        <v>23941</v>
      </c>
      <c r="C62" s="124" t="s">
        <v>216</v>
      </c>
      <c r="D62" s="85">
        <v>368</v>
      </c>
      <c r="E62" s="124" t="s">
        <v>219</v>
      </c>
      <c r="F62" s="85">
        <v>1007</v>
      </c>
      <c r="G62" s="124"/>
      <c r="H62" s="85"/>
    </row>
    <row r="63" spans="1:8" ht="15">
      <c r="A63" s="124" t="s">
        <v>214</v>
      </c>
      <c r="B63" s="85">
        <v>17195</v>
      </c>
      <c r="C63" s="124" t="s">
        <v>221</v>
      </c>
      <c r="D63" s="85">
        <v>16</v>
      </c>
      <c r="E63" s="124"/>
      <c r="F63" s="85"/>
      <c r="G63" s="124"/>
      <c r="H63" s="85"/>
    </row>
    <row r="64" spans="1:8" ht="15">
      <c r="A64" s="124" t="s">
        <v>220</v>
      </c>
      <c r="B64" s="85">
        <v>10242</v>
      </c>
      <c r="C64" s="124"/>
      <c r="D64" s="85"/>
      <c r="E64" s="124"/>
      <c r="F64" s="85"/>
      <c r="G64" s="124"/>
      <c r="H64" s="85"/>
    </row>
    <row r="65" spans="1:8" ht="15">
      <c r="A65" s="124" t="s">
        <v>222</v>
      </c>
      <c r="B65" s="85">
        <v>2102</v>
      </c>
      <c r="C65" s="124"/>
      <c r="D65" s="85"/>
      <c r="E65" s="124"/>
      <c r="F65" s="85"/>
      <c r="G65" s="124"/>
      <c r="H65" s="85"/>
    </row>
    <row r="66" spans="1:8" ht="15">
      <c r="A66" s="124" t="s">
        <v>217</v>
      </c>
      <c r="B66" s="85">
        <v>1714</v>
      </c>
      <c r="C66" s="124"/>
      <c r="D66" s="85"/>
      <c r="E66" s="124"/>
      <c r="F66" s="85"/>
      <c r="G66" s="124"/>
      <c r="H66" s="85"/>
    </row>
    <row r="67" spans="1:8" ht="15">
      <c r="A67" s="124" t="s">
        <v>219</v>
      </c>
      <c r="B67" s="85">
        <v>1007</v>
      </c>
      <c r="C67" s="124"/>
      <c r="D67" s="85"/>
      <c r="E67" s="124"/>
      <c r="F67" s="85"/>
      <c r="G67" s="124"/>
      <c r="H67" s="85"/>
    </row>
    <row r="68" spans="1:8" ht="15">
      <c r="A68" s="124" t="s">
        <v>216</v>
      </c>
      <c r="B68" s="85">
        <v>368</v>
      </c>
      <c r="C68" s="124"/>
      <c r="D68" s="85"/>
      <c r="E68" s="124"/>
      <c r="F68" s="85"/>
      <c r="G68" s="124"/>
      <c r="H68" s="85"/>
    </row>
  </sheetData>
  <hyperlinks>
    <hyperlink ref="A2" r:id="rId1" display="https://twitter.com/qutdmrc/status/1178575442527174657"/>
    <hyperlink ref="A3" r:id="rId2" display="https://twitter.com/phdaisy/status/1179704712498745344"/>
    <hyperlink ref="C2" r:id="rId3" display="https://twitter.com/qutdmrc/status/1178575442527174657"/>
    <hyperlink ref="E2" r:id="rId4" display="https://twitter.com/phdaisy/status/1179704712498745344"/>
  </hyperlinks>
  <printOptions/>
  <pageMargins left="0.7" right="0.7" top="0.75" bottom="0.75" header="0.3" footer="0.3"/>
  <pageSetup orientation="portrait" paperSize="9"/>
  <tableParts>
    <tablePart r:id="rId11"/>
    <tablePart r:id="rId5"/>
    <tablePart r:id="rId12"/>
    <tablePart r:id="rId8"/>
    <tablePart r:id="rId10"/>
    <tablePart r:id="rId6"/>
    <tablePart r:id="rId9"/>
    <tablePart r:id="rId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560</v>
      </c>
      <c r="B1" s="13" t="s">
        <v>564</v>
      </c>
      <c r="C1" s="13" t="s">
        <v>565</v>
      </c>
      <c r="D1" s="13" t="s">
        <v>144</v>
      </c>
      <c r="E1" s="13" t="s">
        <v>567</v>
      </c>
      <c r="F1" s="13" t="s">
        <v>568</v>
      </c>
      <c r="G1" s="13" t="s">
        <v>569</v>
      </c>
    </row>
    <row r="2" spans="1:7" ht="15">
      <c r="A2" s="85" t="s">
        <v>452</v>
      </c>
      <c r="B2" s="85">
        <v>11</v>
      </c>
      <c r="C2" s="129">
        <v>0.07913669064748201</v>
      </c>
      <c r="D2" s="85" t="s">
        <v>566</v>
      </c>
      <c r="E2" s="85"/>
      <c r="F2" s="85"/>
      <c r="G2" s="85"/>
    </row>
    <row r="3" spans="1:7" ht="15">
      <c r="A3" s="85" t="s">
        <v>453</v>
      </c>
      <c r="B3" s="85">
        <v>0</v>
      </c>
      <c r="C3" s="129">
        <v>0</v>
      </c>
      <c r="D3" s="85" t="s">
        <v>566</v>
      </c>
      <c r="E3" s="85"/>
      <c r="F3" s="85"/>
      <c r="G3" s="85"/>
    </row>
    <row r="4" spans="1:7" ht="15">
      <c r="A4" s="85" t="s">
        <v>454</v>
      </c>
      <c r="B4" s="85">
        <v>0</v>
      </c>
      <c r="C4" s="129">
        <v>0</v>
      </c>
      <c r="D4" s="85" t="s">
        <v>566</v>
      </c>
      <c r="E4" s="85"/>
      <c r="F4" s="85"/>
      <c r="G4" s="85"/>
    </row>
    <row r="5" spans="1:7" ht="15">
      <c r="A5" s="85" t="s">
        <v>455</v>
      </c>
      <c r="B5" s="85">
        <v>128</v>
      </c>
      <c r="C5" s="129">
        <v>0.9208633093525179</v>
      </c>
      <c r="D5" s="85" t="s">
        <v>566</v>
      </c>
      <c r="E5" s="85"/>
      <c r="F5" s="85"/>
      <c r="G5" s="85"/>
    </row>
    <row r="6" spans="1:7" ht="15">
      <c r="A6" s="85" t="s">
        <v>456</v>
      </c>
      <c r="B6" s="85">
        <v>139</v>
      </c>
      <c r="C6" s="129">
        <v>1</v>
      </c>
      <c r="D6" s="85" t="s">
        <v>566</v>
      </c>
      <c r="E6" s="85"/>
      <c r="F6" s="85"/>
      <c r="G6" s="85"/>
    </row>
    <row r="7" spans="1:7" ht="15">
      <c r="A7" s="91" t="s">
        <v>457</v>
      </c>
      <c r="B7" s="91">
        <v>9</v>
      </c>
      <c r="C7" s="130">
        <v>0</v>
      </c>
      <c r="D7" s="91" t="s">
        <v>566</v>
      </c>
      <c r="E7" s="91" t="b">
        <v>0</v>
      </c>
      <c r="F7" s="91" t="b">
        <v>0</v>
      </c>
      <c r="G7" s="91" t="b">
        <v>0</v>
      </c>
    </row>
    <row r="8" spans="1:7" ht="15">
      <c r="A8" s="91" t="s">
        <v>458</v>
      </c>
      <c r="B8" s="91">
        <v>4</v>
      </c>
      <c r="C8" s="130">
        <v>0.016008296277789203</v>
      </c>
      <c r="D8" s="91" t="s">
        <v>566</v>
      </c>
      <c r="E8" s="91" t="b">
        <v>0</v>
      </c>
      <c r="F8" s="91" t="b">
        <v>0</v>
      </c>
      <c r="G8" s="91" t="b">
        <v>0</v>
      </c>
    </row>
    <row r="9" spans="1:7" ht="15">
      <c r="A9" s="91" t="s">
        <v>459</v>
      </c>
      <c r="B9" s="91">
        <v>3</v>
      </c>
      <c r="C9" s="130">
        <v>0.01626549731998849</v>
      </c>
      <c r="D9" s="91" t="s">
        <v>566</v>
      </c>
      <c r="E9" s="91" t="b">
        <v>0</v>
      </c>
      <c r="F9" s="91" t="b">
        <v>0</v>
      </c>
      <c r="G9" s="91" t="b">
        <v>0</v>
      </c>
    </row>
    <row r="10" spans="1:7" ht="15">
      <c r="A10" s="91" t="s">
        <v>218</v>
      </c>
      <c r="B10" s="91">
        <v>3</v>
      </c>
      <c r="C10" s="130">
        <v>0.01626549731998849</v>
      </c>
      <c r="D10" s="91" t="s">
        <v>566</v>
      </c>
      <c r="E10" s="91" t="b">
        <v>0</v>
      </c>
      <c r="F10" s="91" t="b">
        <v>0</v>
      </c>
      <c r="G10" s="91" t="b">
        <v>0</v>
      </c>
    </row>
    <row r="11" spans="1:7" ht="15">
      <c r="A11" s="91" t="s">
        <v>460</v>
      </c>
      <c r="B11" s="91">
        <v>3</v>
      </c>
      <c r="C11" s="130">
        <v>0.01626549731998849</v>
      </c>
      <c r="D11" s="91" t="s">
        <v>566</v>
      </c>
      <c r="E11" s="91" t="b">
        <v>0</v>
      </c>
      <c r="F11" s="91" t="b">
        <v>0</v>
      </c>
      <c r="G11" s="91" t="b">
        <v>0</v>
      </c>
    </row>
    <row r="12" spans="1:7" ht="15">
      <c r="A12" s="91" t="s">
        <v>219</v>
      </c>
      <c r="B12" s="91">
        <v>3</v>
      </c>
      <c r="C12" s="130">
        <v>0.01626549731998849</v>
      </c>
      <c r="D12" s="91" t="s">
        <v>566</v>
      </c>
      <c r="E12" s="91" t="b">
        <v>0</v>
      </c>
      <c r="F12" s="91" t="b">
        <v>0</v>
      </c>
      <c r="G12" s="91" t="b">
        <v>0</v>
      </c>
    </row>
    <row r="13" spans="1:7" ht="15">
      <c r="A13" s="91" t="s">
        <v>469</v>
      </c>
      <c r="B13" s="91">
        <v>3</v>
      </c>
      <c r="C13" s="130">
        <v>0.01626549731998849</v>
      </c>
      <c r="D13" s="91" t="s">
        <v>566</v>
      </c>
      <c r="E13" s="91" t="b">
        <v>0</v>
      </c>
      <c r="F13" s="91" t="b">
        <v>0</v>
      </c>
      <c r="G13" s="91" t="b">
        <v>0</v>
      </c>
    </row>
    <row r="14" spans="1:7" ht="15">
      <c r="A14" s="91" t="s">
        <v>470</v>
      </c>
      <c r="B14" s="91">
        <v>3</v>
      </c>
      <c r="C14" s="130">
        <v>0.01626549731998849</v>
      </c>
      <c r="D14" s="91" t="s">
        <v>566</v>
      </c>
      <c r="E14" s="91" t="b">
        <v>0</v>
      </c>
      <c r="F14" s="91" t="b">
        <v>0</v>
      </c>
      <c r="G14" s="91" t="b">
        <v>0</v>
      </c>
    </row>
    <row r="15" spans="1:7" ht="15">
      <c r="A15" s="91" t="s">
        <v>471</v>
      </c>
      <c r="B15" s="91">
        <v>3</v>
      </c>
      <c r="C15" s="130">
        <v>0.01626549731998849</v>
      </c>
      <c r="D15" s="91" t="s">
        <v>566</v>
      </c>
      <c r="E15" s="91" t="b">
        <v>0</v>
      </c>
      <c r="F15" s="91" t="b">
        <v>0</v>
      </c>
      <c r="G15" s="91" t="b">
        <v>0</v>
      </c>
    </row>
    <row r="16" spans="1:7" ht="15">
      <c r="A16" s="91" t="s">
        <v>472</v>
      </c>
      <c r="B16" s="91">
        <v>3</v>
      </c>
      <c r="C16" s="130">
        <v>0.01626549731998849</v>
      </c>
      <c r="D16" s="91" t="s">
        <v>566</v>
      </c>
      <c r="E16" s="91" t="b">
        <v>1</v>
      </c>
      <c r="F16" s="91" t="b">
        <v>0</v>
      </c>
      <c r="G16" s="91" t="b">
        <v>0</v>
      </c>
    </row>
    <row r="17" spans="1:7" ht="15">
      <c r="A17" s="91" t="s">
        <v>473</v>
      </c>
      <c r="B17" s="91">
        <v>3</v>
      </c>
      <c r="C17" s="130">
        <v>0.01626549731998849</v>
      </c>
      <c r="D17" s="91" t="s">
        <v>566</v>
      </c>
      <c r="E17" s="91" t="b">
        <v>0</v>
      </c>
      <c r="F17" s="91" t="b">
        <v>0</v>
      </c>
      <c r="G17" s="91" t="b">
        <v>0</v>
      </c>
    </row>
    <row r="18" spans="1:7" ht="15">
      <c r="A18" s="91" t="s">
        <v>561</v>
      </c>
      <c r="B18" s="91">
        <v>3</v>
      </c>
      <c r="C18" s="130">
        <v>0.01626549731998849</v>
      </c>
      <c r="D18" s="91" t="s">
        <v>566</v>
      </c>
      <c r="E18" s="91" t="b">
        <v>0</v>
      </c>
      <c r="F18" s="91" t="b">
        <v>0</v>
      </c>
      <c r="G18" s="91" t="b">
        <v>0</v>
      </c>
    </row>
    <row r="19" spans="1:7" ht="15">
      <c r="A19" s="91" t="s">
        <v>462</v>
      </c>
      <c r="B19" s="91">
        <v>2</v>
      </c>
      <c r="C19" s="130">
        <v>0.01484573894943963</v>
      </c>
      <c r="D19" s="91" t="s">
        <v>566</v>
      </c>
      <c r="E19" s="91" t="b">
        <v>1</v>
      </c>
      <c r="F19" s="91" t="b">
        <v>0</v>
      </c>
      <c r="G19" s="91" t="b">
        <v>0</v>
      </c>
    </row>
    <row r="20" spans="1:7" ht="15">
      <c r="A20" s="91" t="s">
        <v>463</v>
      </c>
      <c r="B20" s="91">
        <v>2</v>
      </c>
      <c r="C20" s="130">
        <v>0.01484573894943963</v>
      </c>
      <c r="D20" s="91" t="s">
        <v>566</v>
      </c>
      <c r="E20" s="91" t="b">
        <v>0</v>
      </c>
      <c r="F20" s="91" t="b">
        <v>0</v>
      </c>
      <c r="G20" s="91" t="b">
        <v>0</v>
      </c>
    </row>
    <row r="21" spans="1:7" ht="15">
      <c r="A21" s="91" t="s">
        <v>464</v>
      </c>
      <c r="B21" s="91">
        <v>2</v>
      </c>
      <c r="C21" s="130">
        <v>0.01484573894943963</v>
      </c>
      <c r="D21" s="91" t="s">
        <v>566</v>
      </c>
      <c r="E21" s="91" t="b">
        <v>1</v>
      </c>
      <c r="F21" s="91" t="b">
        <v>0</v>
      </c>
      <c r="G21" s="91" t="b">
        <v>0</v>
      </c>
    </row>
    <row r="22" spans="1:7" ht="15">
      <c r="A22" s="91" t="s">
        <v>465</v>
      </c>
      <c r="B22" s="91">
        <v>2</v>
      </c>
      <c r="C22" s="130">
        <v>0.01484573894943963</v>
      </c>
      <c r="D22" s="91" t="s">
        <v>566</v>
      </c>
      <c r="E22" s="91" t="b">
        <v>0</v>
      </c>
      <c r="F22" s="91" t="b">
        <v>0</v>
      </c>
      <c r="G22" s="91" t="b">
        <v>0</v>
      </c>
    </row>
    <row r="23" spans="1:7" ht="15">
      <c r="A23" s="91" t="s">
        <v>466</v>
      </c>
      <c r="B23" s="91">
        <v>2</v>
      </c>
      <c r="C23" s="130">
        <v>0.01484573894943963</v>
      </c>
      <c r="D23" s="91" t="s">
        <v>566</v>
      </c>
      <c r="E23" s="91" t="b">
        <v>1</v>
      </c>
      <c r="F23" s="91" t="b">
        <v>0</v>
      </c>
      <c r="G23" s="91" t="b">
        <v>0</v>
      </c>
    </row>
    <row r="24" spans="1:7" ht="15">
      <c r="A24" s="91" t="s">
        <v>467</v>
      </c>
      <c r="B24" s="91">
        <v>2</v>
      </c>
      <c r="C24" s="130">
        <v>0.01484573894943963</v>
      </c>
      <c r="D24" s="91" t="s">
        <v>566</v>
      </c>
      <c r="E24" s="91" t="b">
        <v>0</v>
      </c>
      <c r="F24" s="91" t="b">
        <v>0</v>
      </c>
      <c r="G24" s="91" t="b">
        <v>0</v>
      </c>
    </row>
    <row r="25" spans="1:7" ht="15">
      <c r="A25" s="91" t="s">
        <v>562</v>
      </c>
      <c r="B25" s="91">
        <v>2</v>
      </c>
      <c r="C25" s="130">
        <v>0.01484573894943963</v>
      </c>
      <c r="D25" s="91" t="s">
        <v>566</v>
      </c>
      <c r="E25" s="91" t="b">
        <v>0</v>
      </c>
      <c r="F25" s="91" t="b">
        <v>0</v>
      </c>
      <c r="G25" s="91" t="b">
        <v>0</v>
      </c>
    </row>
    <row r="26" spans="1:7" ht="15">
      <c r="A26" s="91" t="s">
        <v>563</v>
      </c>
      <c r="B26" s="91">
        <v>2</v>
      </c>
      <c r="C26" s="130">
        <v>0.01484573894943963</v>
      </c>
      <c r="D26" s="91" t="s">
        <v>566</v>
      </c>
      <c r="E26" s="91" t="b">
        <v>0</v>
      </c>
      <c r="F26" s="91" t="b">
        <v>0</v>
      </c>
      <c r="G26" s="91" t="b">
        <v>0</v>
      </c>
    </row>
    <row r="27" spans="1:7" ht="15">
      <c r="A27" s="91" t="s">
        <v>475</v>
      </c>
      <c r="B27" s="91">
        <v>2</v>
      </c>
      <c r="C27" s="130">
        <v>0.01484573894943963</v>
      </c>
      <c r="D27" s="91" t="s">
        <v>566</v>
      </c>
      <c r="E27" s="91" t="b">
        <v>0</v>
      </c>
      <c r="F27" s="91" t="b">
        <v>0</v>
      </c>
      <c r="G27" s="91" t="b">
        <v>0</v>
      </c>
    </row>
    <row r="28" spans="1:7" ht="15">
      <c r="A28" s="91" t="s">
        <v>476</v>
      </c>
      <c r="B28" s="91">
        <v>2</v>
      </c>
      <c r="C28" s="130">
        <v>0.01484573894943963</v>
      </c>
      <c r="D28" s="91" t="s">
        <v>566</v>
      </c>
      <c r="E28" s="91" t="b">
        <v>0</v>
      </c>
      <c r="F28" s="91" t="b">
        <v>0</v>
      </c>
      <c r="G28" s="91" t="b">
        <v>0</v>
      </c>
    </row>
    <row r="29" spans="1:7" ht="15">
      <c r="A29" s="91" t="s">
        <v>477</v>
      </c>
      <c r="B29" s="91">
        <v>2</v>
      </c>
      <c r="C29" s="130">
        <v>0.01484573894943963</v>
      </c>
      <c r="D29" s="91" t="s">
        <v>566</v>
      </c>
      <c r="E29" s="91" t="b">
        <v>0</v>
      </c>
      <c r="F29" s="91" t="b">
        <v>0</v>
      </c>
      <c r="G29" s="91" t="b">
        <v>0</v>
      </c>
    </row>
    <row r="30" spans="1:7" ht="15">
      <c r="A30" s="91" t="s">
        <v>478</v>
      </c>
      <c r="B30" s="91">
        <v>2</v>
      </c>
      <c r="C30" s="130">
        <v>0.01484573894943963</v>
      </c>
      <c r="D30" s="91" t="s">
        <v>566</v>
      </c>
      <c r="E30" s="91" t="b">
        <v>0</v>
      </c>
      <c r="F30" s="91" t="b">
        <v>0</v>
      </c>
      <c r="G30" s="91" t="b">
        <v>0</v>
      </c>
    </row>
    <row r="31" spans="1:7" ht="15">
      <c r="A31" s="91" t="s">
        <v>479</v>
      </c>
      <c r="B31" s="91">
        <v>2</v>
      </c>
      <c r="C31" s="130">
        <v>0.01484573894943963</v>
      </c>
      <c r="D31" s="91" t="s">
        <v>566</v>
      </c>
      <c r="E31" s="91" t="b">
        <v>0</v>
      </c>
      <c r="F31" s="91" t="b">
        <v>0</v>
      </c>
      <c r="G31" s="91" t="b">
        <v>0</v>
      </c>
    </row>
    <row r="32" spans="1:7" ht="15">
      <c r="A32" s="91" t="s">
        <v>480</v>
      </c>
      <c r="B32" s="91">
        <v>2</v>
      </c>
      <c r="C32" s="130">
        <v>0.01484573894943963</v>
      </c>
      <c r="D32" s="91" t="s">
        <v>566</v>
      </c>
      <c r="E32" s="91" t="b">
        <v>0</v>
      </c>
      <c r="F32" s="91" t="b">
        <v>0</v>
      </c>
      <c r="G32" s="91" t="b">
        <v>0</v>
      </c>
    </row>
    <row r="33" spans="1:7" ht="15">
      <c r="A33" s="91" t="s">
        <v>459</v>
      </c>
      <c r="B33" s="91">
        <v>3</v>
      </c>
      <c r="C33" s="130">
        <v>0</v>
      </c>
      <c r="D33" s="91" t="s">
        <v>419</v>
      </c>
      <c r="E33" s="91" t="b">
        <v>0</v>
      </c>
      <c r="F33" s="91" t="b">
        <v>0</v>
      </c>
      <c r="G33" s="91" t="b">
        <v>0</v>
      </c>
    </row>
    <row r="34" spans="1:7" ht="15">
      <c r="A34" s="91" t="s">
        <v>457</v>
      </c>
      <c r="B34" s="91">
        <v>3</v>
      </c>
      <c r="C34" s="130">
        <v>0</v>
      </c>
      <c r="D34" s="91" t="s">
        <v>419</v>
      </c>
      <c r="E34" s="91" t="b">
        <v>0</v>
      </c>
      <c r="F34" s="91" t="b">
        <v>0</v>
      </c>
      <c r="G34" s="91" t="b">
        <v>0</v>
      </c>
    </row>
    <row r="35" spans="1:7" ht="15">
      <c r="A35" s="91" t="s">
        <v>462</v>
      </c>
      <c r="B35" s="91">
        <v>2</v>
      </c>
      <c r="C35" s="130">
        <v>0.015312283396146193</v>
      </c>
      <c r="D35" s="91" t="s">
        <v>419</v>
      </c>
      <c r="E35" s="91" t="b">
        <v>1</v>
      </c>
      <c r="F35" s="91" t="b">
        <v>0</v>
      </c>
      <c r="G35" s="91" t="b">
        <v>0</v>
      </c>
    </row>
    <row r="36" spans="1:7" ht="15">
      <c r="A36" s="91" t="s">
        <v>463</v>
      </c>
      <c r="B36" s="91">
        <v>2</v>
      </c>
      <c r="C36" s="130">
        <v>0.015312283396146193</v>
      </c>
      <c r="D36" s="91" t="s">
        <v>419</v>
      </c>
      <c r="E36" s="91" t="b">
        <v>0</v>
      </c>
      <c r="F36" s="91" t="b">
        <v>0</v>
      </c>
      <c r="G36" s="91" t="b">
        <v>0</v>
      </c>
    </row>
    <row r="37" spans="1:7" ht="15">
      <c r="A37" s="91" t="s">
        <v>464</v>
      </c>
      <c r="B37" s="91">
        <v>2</v>
      </c>
      <c r="C37" s="130">
        <v>0.015312283396146193</v>
      </c>
      <c r="D37" s="91" t="s">
        <v>419</v>
      </c>
      <c r="E37" s="91" t="b">
        <v>1</v>
      </c>
      <c r="F37" s="91" t="b">
        <v>0</v>
      </c>
      <c r="G37" s="91" t="b">
        <v>0</v>
      </c>
    </row>
    <row r="38" spans="1:7" ht="15">
      <c r="A38" s="91" t="s">
        <v>465</v>
      </c>
      <c r="B38" s="91">
        <v>2</v>
      </c>
      <c r="C38" s="130">
        <v>0.015312283396146193</v>
      </c>
      <c r="D38" s="91" t="s">
        <v>419</v>
      </c>
      <c r="E38" s="91" t="b">
        <v>0</v>
      </c>
      <c r="F38" s="91" t="b">
        <v>0</v>
      </c>
      <c r="G38" s="91" t="b">
        <v>0</v>
      </c>
    </row>
    <row r="39" spans="1:7" ht="15">
      <c r="A39" s="91" t="s">
        <v>466</v>
      </c>
      <c r="B39" s="91">
        <v>2</v>
      </c>
      <c r="C39" s="130">
        <v>0.015312283396146193</v>
      </c>
      <c r="D39" s="91" t="s">
        <v>419</v>
      </c>
      <c r="E39" s="91" t="b">
        <v>1</v>
      </c>
      <c r="F39" s="91" t="b">
        <v>0</v>
      </c>
      <c r="G39" s="91" t="b">
        <v>0</v>
      </c>
    </row>
    <row r="40" spans="1:7" ht="15">
      <c r="A40" s="91" t="s">
        <v>467</v>
      </c>
      <c r="B40" s="91">
        <v>2</v>
      </c>
      <c r="C40" s="130">
        <v>0.015312283396146193</v>
      </c>
      <c r="D40" s="91" t="s">
        <v>419</v>
      </c>
      <c r="E40" s="91" t="b">
        <v>0</v>
      </c>
      <c r="F40" s="91" t="b">
        <v>0</v>
      </c>
      <c r="G40" s="91" t="b">
        <v>0</v>
      </c>
    </row>
    <row r="41" spans="1:7" ht="15">
      <c r="A41" s="91" t="s">
        <v>457</v>
      </c>
      <c r="B41" s="91">
        <v>4</v>
      </c>
      <c r="C41" s="130">
        <v>0</v>
      </c>
      <c r="D41" s="91" t="s">
        <v>420</v>
      </c>
      <c r="E41" s="91" t="b">
        <v>0</v>
      </c>
      <c r="F41" s="91" t="b">
        <v>0</v>
      </c>
      <c r="G41" s="91" t="b">
        <v>0</v>
      </c>
    </row>
    <row r="42" spans="1:7" ht="15">
      <c r="A42" s="91" t="s">
        <v>458</v>
      </c>
      <c r="B42" s="91">
        <v>4</v>
      </c>
      <c r="C42" s="130">
        <v>0</v>
      </c>
      <c r="D42" s="91" t="s">
        <v>420</v>
      </c>
      <c r="E42" s="91" t="b">
        <v>0</v>
      </c>
      <c r="F42" s="91" t="b">
        <v>0</v>
      </c>
      <c r="G42" s="91" t="b">
        <v>0</v>
      </c>
    </row>
    <row r="43" spans="1:7" ht="15">
      <c r="A43" s="91" t="s">
        <v>218</v>
      </c>
      <c r="B43" s="91">
        <v>3</v>
      </c>
      <c r="C43" s="130">
        <v>0.007496324196497995</v>
      </c>
      <c r="D43" s="91" t="s">
        <v>420</v>
      </c>
      <c r="E43" s="91" t="b">
        <v>0</v>
      </c>
      <c r="F43" s="91" t="b">
        <v>0</v>
      </c>
      <c r="G43" s="91" t="b">
        <v>0</v>
      </c>
    </row>
    <row r="44" spans="1:7" ht="15">
      <c r="A44" s="91" t="s">
        <v>460</v>
      </c>
      <c r="B44" s="91">
        <v>3</v>
      </c>
      <c r="C44" s="130">
        <v>0.007496324196497995</v>
      </c>
      <c r="D44" s="91" t="s">
        <v>420</v>
      </c>
      <c r="E44" s="91" t="b">
        <v>0</v>
      </c>
      <c r="F44" s="91" t="b">
        <v>0</v>
      </c>
      <c r="G44" s="91" t="b">
        <v>0</v>
      </c>
    </row>
    <row r="45" spans="1:7" ht="15">
      <c r="A45" s="91" t="s">
        <v>219</v>
      </c>
      <c r="B45" s="91">
        <v>3</v>
      </c>
      <c r="C45" s="130">
        <v>0.007496324196497995</v>
      </c>
      <c r="D45" s="91" t="s">
        <v>420</v>
      </c>
      <c r="E45" s="91" t="b">
        <v>0</v>
      </c>
      <c r="F45" s="91" t="b">
        <v>0</v>
      </c>
      <c r="G45" s="91" t="b">
        <v>0</v>
      </c>
    </row>
    <row r="46" spans="1:7" ht="15">
      <c r="A46" s="91" t="s">
        <v>469</v>
      </c>
      <c r="B46" s="91">
        <v>3</v>
      </c>
      <c r="C46" s="130">
        <v>0.007496324196497995</v>
      </c>
      <c r="D46" s="91" t="s">
        <v>420</v>
      </c>
      <c r="E46" s="91" t="b">
        <v>0</v>
      </c>
      <c r="F46" s="91" t="b">
        <v>0</v>
      </c>
      <c r="G46" s="91" t="b">
        <v>0</v>
      </c>
    </row>
    <row r="47" spans="1:7" ht="15">
      <c r="A47" s="91" t="s">
        <v>470</v>
      </c>
      <c r="B47" s="91">
        <v>3</v>
      </c>
      <c r="C47" s="130">
        <v>0.007496324196497995</v>
      </c>
      <c r="D47" s="91" t="s">
        <v>420</v>
      </c>
      <c r="E47" s="91" t="b">
        <v>0</v>
      </c>
      <c r="F47" s="91" t="b">
        <v>0</v>
      </c>
      <c r="G47" s="91" t="b">
        <v>0</v>
      </c>
    </row>
    <row r="48" spans="1:7" ht="15">
      <c r="A48" s="91" t="s">
        <v>471</v>
      </c>
      <c r="B48" s="91">
        <v>3</v>
      </c>
      <c r="C48" s="130">
        <v>0.007496324196497995</v>
      </c>
      <c r="D48" s="91" t="s">
        <v>420</v>
      </c>
      <c r="E48" s="91" t="b">
        <v>0</v>
      </c>
      <c r="F48" s="91" t="b">
        <v>0</v>
      </c>
      <c r="G48" s="91" t="b">
        <v>0</v>
      </c>
    </row>
    <row r="49" spans="1:7" ht="15">
      <c r="A49" s="91" t="s">
        <v>472</v>
      </c>
      <c r="B49" s="91">
        <v>3</v>
      </c>
      <c r="C49" s="130">
        <v>0.007496324196497995</v>
      </c>
      <c r="D49" s="91" t="s">
        <v>420</v>
      </c>
      <c r="E49" s="91" t="b">
        <v>1</v>
      </c>
      <c r="F49" s="91" t="b">
        <v>0</v>
      </c>
      <c r="G49" s="91" t="b">
        <v>0</v>
      </c>
    </row>
    <row r="50" spans="1:7" ht="15">
      <c r="A50" s="91" t="s">
        <v>473</v>
      </c>
      <c r="B50" s="91">
        <v>3</v>
      </c>
      <c r="C50" s="130">
        <v>0.007496324196497995</v>
      </c>
      <c r="D50" s="91" t="s">
        <v>420</v>
      </c>
      <c r="E50" s="91" t="b">
        <v>0</v>
      </c>
      <c r="F50" s="91" t="b">
        <v>0</v>
      </c>
      <c r="G50" s="91" t="b">
        <v>0</v>
      </c>
    </row>
    <row r="51" spans="1:7" ht="15">
      <c r="A51" s="91" t="s">
        <v>561</v>
      </c>
      <c r="B51" s="91">
        <v>3</v>
      </c>
      <c r="C51" s="130">
        <v>0.007496324196497995</v>
      </c>
      <c r="D51" s="91" t="s">
        <v>420</v>
      </c>
      <c r="E51" s="91" t="b">
        <v>0</v>
      </c>
      <c r="F51" s="91" t="b">
        <v>0</v>
      </c>
      <c r="G51" s="91" t="b">
        <v>0</v>
      </c>
    </row>
    <row r="52" spans="1:7" ht="15">
      <c r="A52" s="91" t="s">
        <v>562</v>
      </c>
      <c r="B52" s="91">
        <v>2</v>
      </c>
      <c r="C52" s="130">
        <v>0.012041199826559249</v>
      </c>
      <c r="D52" s="91" t="s">
        <v>420</v>
      </c>
      <c r="E52" s="91" t="b">
        <v>0</v>
      </c>
      <c r="F52" s="91" t="b">
        <v>0</v>
      </c>
      <c r="G52" s="91" t="b">
        <v>0</v>
      </c>
    </row>
    <row r="53" spans="1:7" ht="15">
      <c r="A53" s="91" t="s">
        <v>563</v>
      </c>
      <c r="B53" s="91">
        <v>2</v>
      </c>
      <c r="C53" s="130">
        <v>0.012041199826559249</v>
      </c>
      <c r="D53" s="91" t="s">
        <v>420</v>
      </c>
      <c r="E53" s="91" t="b">
        <v>0</v>
      </c>
      <c r="F53" s="91" t="b">
        <v>0</v>
      </c>
      <c r="G53" s="91" t="b">
        <v>0</v>
      </c>
    </row>
    <row r="54" spans="1:7" ht="15">
      <c r="A54" s="91" t="s">
        <v>475</v>
      </c>
      <c r="B54" s="91">
        <v>2</v>
      </c>
      <c r="C54" s="130">
        <v>0</v>
      </c>
      <c r="D54" s="91" t="s">
        <v>421</v>
      </c>
      <c r="E54" s="91" t="b">
        <v>0</v>
      </c>
      <c r="F54" s="91" t="b">
        <v>0</v>
      </c>
      <c r="G54" s="91" t="b">
        <v>0</v>
      </c>
    </row>
    <row r="55" spans="1:7" ht="15">
      <c r="A55" s="91" t="s">
        <v>476</v>
      </c>
      <c r="B55" s="91">
        <v>2</v>
      </c>
      <c r="C55" s="130">
        <v>0</v>
      </c>
      <c r="D55" s="91" t="s">
        <v>421</v>
      </c>
      <c r="E55" s="91" t="b">
        <v>0</v>
      </c>
      <c r="F55" s="91" t="b">
        <v>0</v>
      </c>
      <c r="G55" s="91" t="b">
        <v>0</v>
      </c>
    </row>
    <row r="56" spans="1:7" ht="15">
      <c r="A56" s="91" t="s">
        <v>477</v>
      </c>
      <c r="B56" s="91">
        <v>2</v>
      </c>
      <c r="C56" s="130">
        <v>0</v>
      </c>
      <c r="D56" s="91" t="s">
        <v>421</v>
      </c>
      <c r="E56" s="91" t="b">
        <v>0</v>
      </c>
      <c r="F56" s="91" t="b">
        <v>0</v>
      </c>
      <c r="G56" s="91" t="b">
        <v>0</v>
      </c>
    </row>
    <row r="57" spans="1:7" ht="15">
      <c r="A57" s="91" t="s">
        <v>478</v>
      </c>
      <c r="B57" s="91">
        <v>2</v>
      </c>
      <c r="C57" s="130">
        <v>0</v>
      </c>
      <c r="D57" s="91" t="s">
        <v>421</v>
      </c>
      <c r="E57" s="91" t="b">
        <v>0</v>
      </c>
      <c r="F57" s="91" t="b">
        <v>0</v>
      </c>
      <c r="G57" s="91" t="b">
        <v>0</v>
      </c>
    </row>
    <row r="58" spans="1:7" ht="15">
      <c r="A58" s="91" t="s">
        <v>479</v>
      </c>
      <c r="B58" s="91">
        <v>2</v>
      </c>
      <c r="C58" s="130">
        <v>0</v>
      </c>
      <c r="D58" s="91" t="s">
        <v>421</v>
      </c>
      <c r="E58" s="91" t="b">
        <v>0</v>
      </c>
      <c r="F58" s="91" t="b">
        <v>0</v>
      </c>
      <c r="G58" s="91" t="b">
        <v>0</v>
      </c>
    </row>
    <row r="59" spans="1:7" ht="15">
      <c r="A59" s="91" t="s">
        <v>480</v>
      </c>
      <c r="B59" s="91">
        <v>2</v>
      </c>
      <c r="C59" s="130">
        <v>0</v>
      </c>
      <c r="D59" s="91" t="s">
        <v>421</v>
      </c>
      <c r="E59" s="91" t="b">
        <v>0</v>
      </c>
      <c r="F59" s="91" t="b">
        <v>0</v>
      </c>
      <c r="G59" s="91" t="b">
        <v>0</v>
      </c>
    </row>
    <row r="60" spans="1:7" ht="15">
      <c r="A60" s="91" t="s">
        <v>457</v>
      </c>
      <c r="B60" s="91">
        <v>2</v>
      </c>
      <c r="C60" s="130">
        <v>0</v>
      </c>
      <c r="D60" s="91" t="s">
        <v>421</v>
      </c>
      <c r="E60" s="91" t="b">
        <v>0</v>
      </c>
      <c r="F60" s="91" t="b">
        <v>0</v>
      </c>
      <c r="G60"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2019-10-09T16:19:52Z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