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<sst xmlns="http://schemas.openxmlformats.org/spreadsheetml/2006/main" count="842" uniqueCount="450">
  <si>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</si>
  <si>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</si>
  <si>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</si>
  <si>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</si>
  <si>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</si>
  <si>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</si>
  <si>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</si>
  <si>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</si>
  <si>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</si>
  <si>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</si>
  <si>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</si>
  <si>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</si>
  <si>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</si>
  <si>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</si>
  <si>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</si>
  <si>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</si>
  <si>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</si>
  <si>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</si>
  <si>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</si>
  <si>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</si>
  <si>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</si>
  <si>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</si>
  <si>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</si>
  <si>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</si>
  <si>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</si>
  <si>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</si>
  <si>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</si>
  <si>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</si>
  <si>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</si>
  <si>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</si>
  <si>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</si>
  <si>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</si>
  <si>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</si>
  <si>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</si>
  <si>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</si>
  <si>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</si>
  <si>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</si>
  <si>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</si>
  <si>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</si>
  <si>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</si>
  <si>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</si>
  <si>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</si>
  <si>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</si>
  <si>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</si>
  <si>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</si>
  <si>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</si>
  <si>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</si>
  <si>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</si>
  <si>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</si>
  <si>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</si>
  <si>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</si>
  <si>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</si>
  <si>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</si>
  <si>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</si>
  <si>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</si>
  <si>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</si>
  <si>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</si>
  <si>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</si>
  <si>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</si>
  <si>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</si>
  <si>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</si>
  <si>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</si>
  <si>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</si>
  <si>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</si>
  <si>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</si>
  <si>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</si>
  <si>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</si>
  <si>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</si>
  <si>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</si>
  <si>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</si>
  <si>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</si>
  <si>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</si>
  <si>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</si>
  <si>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</si>
  <si>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</si>
  <si>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</si>
  <si>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</si>
  <si>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</si>
  <si>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</si>
  <si>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</si>
  <si>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</si>
  <si>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</si>
  <si>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</si>
  <si>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</si>
  <si>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</si>
  <si>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</si>
  <si>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</si>
  <si>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</si>
  <si>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</si>
  <si>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</si>
  <si>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</si>
  <si>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</si>
  <si>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</si>
  <si>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</si>
  <si>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</si>
  <si>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</si>
  <si>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</si>
  <si>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</si>
  <si>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</si>
  <si>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</si>
  <si>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</si>
  <si>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</si>
  <si>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</si>
  <si>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</si>
  <si>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</si>
  <si>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</si>
  <si>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</si>
  <si>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</si>
  <si>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</si>
  <si>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</si>
  <si>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</si>
  <si>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</si>
  <si>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</si>
  <si>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</si>
  <si>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</si>
  <si>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</si>
  <si>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</si>
  <si>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</si>
  <si>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</si>
  <si>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</si>
  <si>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</si>
  <si>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</si>
  <si>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</si>
  <si>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</si>
  <si>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</si>
  <si>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</si>
  <si>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</si>
  <si>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</si>
  <si>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</si>
  <si>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</si>
  <si>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</si>
  <si>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</si>
  <si>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</si>
  <si>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</si>
  <si>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</si>
  <si>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</si>
  <si>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</si>
  <si>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</si>
  <si>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</si>
  <si>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</si>
  <si>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</si>
  <si>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</si>
  <si>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</si>
  <si>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</si>
  <si>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</si>
  <si>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</si>
  <si>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</si>
  <si>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</si>
  <si>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</si>
  <si>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</si>
  <si>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</si>
  <si>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</si>
  <si>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</si>
  <si>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</si>
  <si>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</si>
  <si>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</si>
  <si>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</si>
  <si>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</si>
  <si>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</si>
  <si>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</si>
  <si>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</si>
  <si>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</si>
  <si>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</si>
  <si>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</si>
  <si>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</si>
  <si>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</si>
  <si>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</si>
  <si>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</si>
  <si>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</si>
  <si>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</si>
  <si>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</si>
  <si>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</si>
  <si>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</si>
  <si>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</si>
  <si>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</si>
  <si>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</si>
  <si>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</si>
  <si>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</si>
  <si>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</si>
  <si>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</si>
  <si>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</si>
  <si>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</si>
  <si>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</si>
  <si>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</si>
  <si>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</si>
  <si>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</si>
  <si>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</si>
  <si>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</si>
  <si>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</si>
  <si>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</si>
  <si>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</si>
  <si>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</si>
  <si>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</si>
  <si>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</si>
  <si>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</si>
  <si>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</si>
  <si>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</si>
  <si>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</si>
  <si>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</si>
  <si>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</si>
  <si>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</si>
  <si>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</si>
  <si>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</si>
  <si>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</si>
  <si>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</si>
  <si>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</si>
  <si>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</si>
  <si>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</si>
  <si>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</si>
  <si>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</si>
  <si>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</si>
  <si>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</si>
  <si>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randydaledowns</t>
  </si>
  <si>
    <t>socialdriver</t>
  </si>
  <si>
    <t>washblade</t>
  </si>
  <si>
    <t>Mentions</t>
  </si>
  <si>
    <t>Please vote for @SocialDriver for Best LGBTQ-Owned Business in the @WashBlade #BestOfGayDC Awards!
And @RandyDaleDowns Best Public Offical! 
VOTE HERE--&amp;gt; https://t.co/QqhnvUloaR https://t.co/pMhuEdRWbC</t>
  </si>
  <si>
    <t>Thanks! _xD83C__xDFF3_️‍_xD83C__xDF08_ We appreciate your vote! _xD83D__xDDF3_️ https://t.co/aCJmyjOE7b</t>
  </si>
  <si>
    <t>Digital advertising requires a holistic plan to find and engage your audience. If you're an expert who can zero in on prospects based on demographics, intent, engagement patterns, and more, apply to be our next Senior Ads Specialist. #BeADriver https://t.co/CEtvSyeu4Y https://t.co/bLnj0Sxs9p</t>
  </si>
  <si>
    <t>https://www.washingtonblade.com/2019/08/12/2019-best-of-gay-dc-finalist-voting/</t>
  </si>
  <si>
    <t>https://twitter.com/RandyDaleDowns/status/1160955325438210048</t>
  </si>
  <si>
    <t>https://socialdriver.bamboohr.com/jobs/view.php?id=10&amp;utm_source=twitter&amp;utm_medium=o</t>
  </si>
  <si>
    <t>washingtonblade.com</t>
  </si>
  <si>
    <t>twitter.com</t>
  </si>
  <si>
    <t>bamboohr.com</t>
  </si>
  <si>
    <t>bestofgaydc</t>
  </si>
  <si>
    <t>beadriver</t>
  </si>
  <si>
    <t>https://pbs.twimg.com/media/EByKs1kWwAEQNPB.jpg</t>
  </si>
  <si>
    <t>https://pbs.twimg.com/media/EBy4MBAXsAADVvE.jpg</t>
  </si>
  <si>
    <t>http://pbs.twimg.com/profile_images/1155931839233703936/FsBJc9W0_normal.jpg</t>
  </si>
  <si>
    <t>https://twitter.com/#!/randydaledowns/status/1160955325438210048</t>
  </si>
  <si>
    <t>https://twitter.com/#!/socialdriver/status/1160958080831688704</t>
  </si>
  <si>
    <t>https://twitter.com/#!/socialdriver/status/1161005324591140864</t>
  </si>
  <si>
    <t>1160955325438210048</t>
  </si>
  <si>
    <t>1160958080831688704</t>
  </si>
  <si>
    <t>1161005324591140864</t>
  </si>
  <si>
    <t/>
  </si>
  <si>
    <t>en</t>
  </si>
  <si>
    <t>Twitter Web App</t>
  </si>
  <si>
    <t>Twitter for Android</t>
  </si>
  <si>
    <t>-77.119401,38.801826 
-76.909396,38.801826 
-76.909396,38.9953797 
-77.119401,38.9953797</t>
  </si>
  <si>
    <t>United States</t>
  </si>
  <si>
    <t>US</t>
  </si>
  <si>
    <t>Washington, DC</t>
  </si>
  <si>
    <t>01fbe706f872cb32</t>
  </si>
  <si>
    <t>Washington</t>
  </si>
  <si>
    <t>city</t>
  </si>
  <si>
    <t>https://api.twitter.com/1.1/geo/id/01fbe706f872cb32.json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</si>
  <si>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</si>
  <si>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</si>
  <si>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</si>
  <si>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</si>
  <si>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</si>
  <si>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</si>
  <si>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</si>
  <si>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</si>
  <si>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</si>
  <si>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</si>
  <si>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</si>
  <si>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</si>
  <si>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</si>
  <si>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</si>
  <si>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</si>
  <si>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</si>
  <si>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</si>
  <si>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</si>
  <si>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</si>
  <si>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</si>
  <si>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</si>
  <si>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Randy Downs</t>
  </si>
  <si>
    <t>Washington Blade</t>
  </si>
  <si>
    <t>Social Driver</t>
  </si>
  <si>
    <t>Dupont Circle ANC Commissioner &amp; Progressive Activist- LGBTQ Equality, Environment, Public Transportation, Labor, &amp; Community.</t>
  </si>
  <si>
    <t>America's top LGBT news source since 1969, covering Washington and the world. Tips newstip@washblade.com</t>
  </si>
  <si>
    <t>Experience digital with us. Social Driver is a digital agency based in DC with additional teams in Bellingham, WA, and Kansas City, MO. ⚡️ #BeADriver</t>
  </si>
  <si>
    <t>Washington, D.C.</t>
  </si>
  <si>
    <t>http://randydowns.org</t>
  </si>
  <si>
    <t>https://t.co/EYyumxOmGA</t>
  </si>
  <si>
    <t>https://t.co/rO671IVecy</t>
  </si>
  <si>
    <t>https://pbs.twimg.com/profile_banners/458026132/1498236147</t>
  </si>
  <si>
    <t>https://pbs.twimg.com/profile_banners/19918986/1537457984</t>
  </si>
  <si>
    <t>https://pbs.twimg.com/profile_banners/309849736/1531919350</t>
  </si>
  <si>
    <t>http://abs.twimg.com/images/themes/theme1/bg.png</t>
  </si>
  <si>
    <t>http://abs.twimg.com/images/themes/theme10/bg.gif</t>
  </si>
  <si>
    <t>http://abs.twimg.com/images/themes/theme14/bg.gif</t>
  </si>
  <si>
    <t>http://pbs.twimg.com/profile_images/1070725409317273600/VqVA4nUQ_normal.jpg</t>
  </si>
  <si>
    <t>http://pbs.twimg.com/profile_images/839915256906330112/aMokf8Qm_normal.jpg</t>
  </si>
  <si>
    <t>Open Twitter Page for This Person</t>
  </si>
  <si>
    <t>https://twitter.com/randydaledowns</t>
  </si>
  <si>
    <t>https://twitter.com/washblade</t>
  </si>
  <si>
    <t>https://twitter.com/socialdriver</t>
  </si>
  <si>
    <t>randydaledowns
Please vote for @SocialDriver for
Best LGBTQ-Owned Business in the
@WashBlade #BestOfGayDC Awards!
And @RandyDaleDowns Best Public
Offical! VOTE HERE--&amp;gt; https://t.co/QqhnvUloaR
https://t.co/pMhuEdRWbC</t>
  </si>
  <si>
    <t xml:space="preserve">washblade
</t>
  </si>
  <si>
    <t>socialdriver
Digital advertising requires a
holistic plan to find and engage
your audience. If you're an expert
who can zero in on prospects based
on demographics, intent, engagement
patterns, and more, apply to be
our next Senior Ads Specialist.
#BeADriver https://t.co/CEtvSyeu4Y
https://t.co/bLnj0Sxs9p</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</si>
  <si>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</si>
  <si>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</si>
  <si>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</si>
  <si>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</si>
  <si>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</si>
  <si>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</si>
  <si>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</si>
  <si>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&lt;value&gt;emilyrasowsky@socialdriver.com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t>
  </si>
  <si>
    <t>Workbook Settings 5</t>
  </si>
  <si>
    <t xml:space="preserve">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t>
  </si>
  <si>
    <t>Workbook Settings 6</t>
  </si>
  <si>
    <t>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t>
  </si>
  <si>
    <t>Workbook Settings 7</t>
  </si>
  <si>
    <t>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
  </si>
  <si>
    <t>Workbook Settings 8</t>
  </si>
  <si>
    <t>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
  </si>
  <si>
    <t>Workbook Settings 9</t>
  </si>
  <si>
    <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t>
  </si>
  <si>
    <t>Workbook Settings 10</t>
  </si>
  <si>
    <t xml:space="preserv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t>
  </si>
  <si>
    <t>Workbook Settings 11</t>
  </si>
  <si>
    <t>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t>
  </si>
  <si>
    <t>Workbook Settings 12</t>
  </si>
  <si>
    <t>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t>
  </si>
  <si>
    <t>Workbook Settings 13</t>
  </si>
  <si>
    <t>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t>
  </si>
  <si>
    <t>Workbook Settings 14</t>
  </si>
  <si>
    <t xml:space="preserve">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t>
  </si>
  <si>
    <t>Workbook Settings 15</t>
  </si>
  <si>
    <t xml:space="preserve">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t>
  </si>
  <si>
    <t>Workbook Settings 16</t>
  </si>
  <si>
    <t>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t>
  </si>
  <si>
    <t>Workbook Settings 17</t>
  </si>
  <si>
    <t>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t>
  </si>
  <si>
    <t>Workbook Settings 18</t>
  </si>
  <si>
    <t>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</si>
  <si>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</si>
  <si>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</si>
  <si>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</si>
  <si>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</si>
  <si>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0, 12, 96</t>
  </si>
  <si>
    <t>Vertex Group</t>
  </si>
  <si>
    <t>Vertex 1 Group</t>
  </si>
  <si>
    <t>Vertex 2 Group</t>
  </si>
  <si>
    <t>Top URLs in Tweet in Entire Graph</t>
  </si>
  <si>
    <t>Entire Graph Count</t>
  </si>
  <si>
    <t>Top URLs in Tweet in G1</t>
  </si>
  <si>
    <t>G1 Count</t>
  </si>
  <si>
    <t>Top URLs in Tweet</t>
  </si>
  <si>
    <t>https://socialdriver.bamboohr.com/jobs/view.php?id=10&amp;utm_source=twitter&amp;utm_medium=o https://twitter.com/RandyDaleDowns/status/1160955325438210048 https://www.washingtonblade.com/2019/08/12/2019-best-of-gay-dc-finalist-voting/</t>
  </si>
  <si>
    <t>Top Domains in Tweet in Entire Graph</t>
  </si>
  <si>
    <t>Top Domains in Tweet in G1</t>
  </si>
  <si>
    <t>Top Domains in Tweet</t>
  </si>
  <si>
    <t>bamboohr.com twitter.com washingtonblade.com</t>
  </si>
  <si>
    <t>Top Hashtags in Tweet in Entire Graph</t>
  </si>
  <si>
    <t>Top Hashtags in Tweet in G1</t>
  </si>
  <si>
    <t>Top Hashtags in Tweet</t>
  </si>
  <si>
    <t>beadriver bestofgaydc</t>
  </si>
  <si>
    <t>Top Words in Tweet in Entire Graph</t>
  </si>
  <si>
    <t>Words in Sentiment List#1: Positive</t>
  </si>
  <si>
    <t>Words in Sentiment List#2: Negative</t>
  </si>
  <si>
    <t>Words in Sentiment List#3: Angry/Violent</t>
  </si>
  <si>
    <t>Non-categorized Words</t>
  </si>
  <si>
    <t>Total Words</t>
  </si>
  <si>
    <t>vote</t>
  </si>
  <si>
    <t>best</t>
  </si>
  <si>
    <t>Top Words in Tweet in G1</t>
  </si>
  <si>
    <t>Top Words in Tweet</t>
  </si>
  <si>
    <t>vote best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</si>
  <si>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</si>
  <si>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</si>
  <si>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</si>
  <si>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</si>
  <si>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</si>
  <si>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</si>
  <si>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</si>
  <si>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</si>
  <si>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</si>
  <si>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socialdriver washblade randydaledowns</t>
  </si>
  <si>
    <t>Top Tweeters in Entire Graph</t>
  </si>
  <si>
    <t>Top Tweeters in G1</t>
  </si>
  <si>
    <t>Top Tweeters</t>
  </si>
  <si>
    <t>washblade socialdriver randydaledowns</t>
  </si>
  <si>
    <t>Top URLs in Tweet by Count</t>
  </si>
  <si>
    <t>https://socialdriver.bamboohr.com/jobs/view.php?id=10&amp;utm_source=twitter&amp;utm_medium=o https://twitter.com/RandyDaleDowns/status/1160955325438210048</t>
  </si>
  <si>
    <t>Top URLs in Tweet by Salience</t>
  </si>
  <si>
    <t>Top Domains in Tweet by Count</t>
  </si>
  <si>
    <t>bamboohr.com twitter.com</t>
  </si>
  <si>
    <t>Top Domains in Tweet by Salience</t>
  </si>
  <si>
    <t>Top Hashtags in Tweet by Count</t>
  </si>
  <si>
    <t>Top Hashtags in Tweet by Salience</t>
  </si>
  <si>
    <t>Top Words in Tweet by Count</t>
  </si>
  <si>
    <t>vote best please lgbtq owned business washblade #bestofgaydc awards randydaledowns</t>
  </si>
  <si>
    <t>digital advertising requires holistic plan find engage audience expert zero</t>
  </si>
  <si>
    <t>Top Words in Tweet by Salience</t>
  </si>
  <si>
    <t>Top Word Pairs in Tweet by Count</t>
  </si>
  <si>
    <t>please,vote  vote,socialdriver  socialdriver,best  best,lgbtq  lgbtq,owned  owned,business  business,washblade  washblade,#bestofgaydc  #bestofgaydc,awards  awards,randydaledowns</t>
  </si>
  <si>
    <t>digital,advertising  advertising,requires  requires,holistic  holistic,plan  plan,find  find,engage  engage,audience  audience,expert  expert,zero  zero,prospects</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</si>
  <si>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</si>
  <si>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</si>
  <si>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</si>
  <si>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</si>
  <si>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</si>
  <si>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</si>
  <si>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</si>
  <si>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</si>
  <si>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</si>
  <si>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</si>
  <si>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</si>
  <si>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</si>
  <si>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</si>
  <si>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</si>
  <si>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</si>
  <si>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</si>
  <si>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</si>
  <si>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</si>
  <si>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</si>
  <si>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</si>
  <si>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</si>
  <si>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</si>
  <si>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</si>
  <si>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</si>
  <si>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</si>
  <si>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</si>
  <si>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</si>
  <si>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</si>
  <si>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</si>
  <si>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</si>
  <si>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</si>
  <si>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</si>
  <si>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</si>
  <si>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</si>
  <si>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</si>
  <si>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</si>
  <si>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</si>
  <si>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</si>
  <si>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</si>
  <si>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</si>
  <si>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</si>
  <si>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</si>
  <si>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</si>
  <si>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</si>
  <si>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</si>
  <si>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</si>
  <si>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</si>
  <si>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</si>
  <si>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</si>
  <si>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</si>
  <si>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</si>
  <si>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</si>
  <si>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</si>
  <si>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Red</t>
  </si>
  <si>
    <t>G1: vote best</t>
  </si>
  <si>
    <t>Autofill Workbook Results</t>
  </si>
  <si>
    <t>Edge Weight▓1▓2▓0▓True▓Gray▓Red▓▓Edge Weight▓1▓2▓0▓3▓10▓False▓Edge Weight▓1▓2▓0▓35▓12▓False▓▓0▓0▓0▓True▓Black▓Black▓▓Followers▓882▓3901▓0▓162▓1000▓False▓▓0▓0▓0▓0▓0▓False▓▓0▓0▓0▓0▓0▓False▓▓0▓0▓0▓0▓0▓False</t>
  </si>
  <si>
    <t>GraphSource░GraphServerTwitterSearch▓GraphTerm░Socialdriver▓ImportDescription░The graph represents a network of 3 Twitter users whose tweets in the requested range contained "Socialdriver", or who were replied to or mentioned in those tweets.  The network was obtained from the NodeXL Graph Server on Friday, 16 August 2019 at 11:50 UTC.
The requested start date was Wednesday, 14 August 2019 at 00:01 UTC and the maximum number of days (going backward) was 14.
The maximum number of tweets collected was 5,000.
The tweets in the network were tweeted over the 3-hour, 18-minute period from Monday, 12 August 2019 at 16:44 UTC to Monday, 12 August 2019 at 20:03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</si>
</sst>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5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55"/>
      <tableStyleElement type="headerRow" dxfId="354"/>
    </tableStyle>
    <tableStyle name="NodeXL Table" pivot="0" count="1">
      <tableStyleElement type="headerRow" dxfId="35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8101925"/>
        <c:axId val="28699598"/>
      </c:barChart>
      <c:catAx>
        <c:axId val="1810192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699598"/>
        <c:crosses val="autoZero"/>
        <c:auto val="1"/>
        <c:lblOffset val="100"/>
        <c:noMultiLvlLbl val="0"/>
      </c:catAx>
      <c:valAx>
        <c:axId val="286995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1019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Socialdriver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8/12/2019 16:44</c:v>
                </c:pt>
                <c:pt idx="1">
                  <c:v>8/12/2019 16:55</c:v>
                </c:pt>
                <c:pt idx="2">
                  <c:v>8/12/2019 20:03</c:v>
                </c:pt>
              </c:strCache>
            </c:strRef>
          </c:cat>
          <c:val>
            <c:numRef>
              <c:f>'Time Series'!$B$26:$B$29</c:f>
              <c:numCache>
                <c:formatCode>General</c:formatCode>
                <c:ptCount val="3"/>
                <c:pt idx="0">
                  <c:v>2</c:v>
                </c:pt>
                <c:pt idx="1">
                  <c:v>1</c:v>
                </c:pt>
                <c:pt idx="2">
                  <c:v>1</c:v>
                </c:pt>
              </c:numCache>
            </c:numRef>
          </c:val>
        </c:ser>
        <c:axId val="61567887"/>
        <c:axId val="17240072"/>
      </c:barChart>
      <c:catAx>
        <c:axId val="61567887"/>
        <c:scaling>
          <c:orientation val="minMax"/>
        </c:scaling>
        <c:axPos val="b"/>
        <c:delete val="0"/>
        <c:numFmt formatCode="General" sourceLinked="1"/>
        <c:majorTickMark val="out"/>
        <c:minorTickMark val="none"/>
        <c:tickLblPos val="nextTo"/>
        <c:crossAx val="17240072"/>
        <c:crosses val="autoZero"/>
        <c:auto val="1"/>
        <c:lblOffset val="100"/>
        <c:noMultiLvlLbl val="0"/>
      </c:catAx>
      <c:valAx>
        <c:axId val="17240072"/>
        <c:scaling>
          <c:orientation val="minMax"/>
        </c:scaling>
        <c:axPos val="l"/>
        <c:majorGridlines/>
        <c:delete val="0"/>
        <c:numFmt formatCode="General" sourceLinked="1"/>
        <c:majorTickMark val="out"/>
        <c:minorTickMark val="none"/>
        <c:tickLblPos val="nextTo"/>
        <c:crossAx val="6156788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6969791"/>
        <c:axId val="42966072"/>
      </c:barChart>
      <c:catAx>
        <c:axId val="5696979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966072"/>
        <c:crosses val="autoZero"/>
        <c:auto val="1"/>
        <c:lblOffset val="100"/>
        <c:noMultiLvlLbl val="0"/>
      </c:catAx>
      <c:valAx>
        <c:axId val="429660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9697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1150329"/>
        <c:axId val="57699778"/>
      </c:barChart>
      <c:catAx>
        <c:axId val="5115032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699778"/>
        <c:crosses val="autoZero"/>
        <c:auto val="1"/>
        <c:lblOffset val="100"/>
        <c:noMultiLvlLbl val="0"/>
      </c:catAx>
      <c:valAx>
        <c:axId val="576997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1503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9535955"/>
        <c:axId val="43170412"/>
      </c:barChart>
      <c:catAx>
        <c:axId val="4953595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170412"/>
        <c:crosses val="autoZero"/>
        <c:auto val="1"/>
        <c:lblOffset val="100"/>
        <c:noMultiLvlLbl val="0"/>
      </c:catAx>
      <c:valAx>
        <c:axId val="431704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5359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2989389"/>
        <c:axId val="7142454"/>
      </c:barChart>
      <c:catAx>
        <c:axId val="5298938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7142454"/>
        <c:crosses val="autoZero"/>
        <c:auto val="1"/>
        <c:lblOffset val="100"/>
        <c:noMultiLvlLbl val="0"/>
      </c:catAx>
      <c:valAx>
        <c:axId val="71424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893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4282087"/>
        <c:axId val="41667872"/>
      </c:barChart>
      <c:catAx>
        <c:axId val="6428208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667872"/>
        <c:crosses val="autoZero"/>
        <c:auto val="1"/>
        <c:lblOffset val="100"/>
        <c:noMultiLvlLbl val="0"/>
      </c:catAx>
      <c:valAx>
        <c:axId val="416678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2820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9466529"/>
        <c:axId val="19654442"/>
      </c:barChart>
      <c:catAx>
        <c:axId val="3946652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654442"/>
        <c:crosses val="autoZero"/>
        <c:auto val="1"/>
        <c:lblOffset val="100"/>
        <c:noMultiLvlLbl val="0"/>
      </c:catAx>
      <c:valAx>
        <c:axId val="196544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665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2672251"/>
        <c:axId val="48505940"/>
      </c:barChart>
      <c:catAx>
        <c:axId val="4267225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505940"/>
        <c:crosses val="autoZero"/>
        <c:auto val="1"/>
        <c:lblOffset val="100"/>
        <c:noMultiLvlLbl val="0"/>
      </c:catAx>
      <c:valAx>
        <c:axId val="485059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6722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3900277"/>
        <c:axId val="36667038"/>
      </c:barChart>
      <c:catAx>
        <c:axId val="33900277"/>
        <c:scaling>
          <c:orientation val="minMax"/>
        </c:scaling>
        <c:axPos val="b"/>
        <c:delete val="1"/>
        <c:majorTickMark val="out"/>
        <c:minorTickMark val="none"/>
        <c:tickLblPos val="none"/>
        <c:crossAx val="36667038"/>
        <c:crosses val="autoZero"/>
        <c:auto val="1"/>
        <c:lblOffset val="100"/>
        <c:noMultiLvlLbl val="0"/>
      </c:catAx>
      <c:valAx>
        <c:axId val="36667038"/>
        <c:scaling>
          <c:orientation val="minMax"/>
        </c:scaling>
        <c:axPos val="l"/>
        <c:delete val="1"/>
        <c:majorTickMark val="out"/>
        <c:minorTickMark val="none"/>
        <c:tickLblPos val="none"/>
        <c:crossAx val="3390027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 refreshedBy="Marc Smith" refreshedVersion="5">
  <cacheSource type="worksheet">
    <worksheetSource ref="A2:BL6"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Blank="1" containsMixedTypes="0" count="3">
        <s v="bestofgaydc"/>
        <m/>
        <s v="beadriv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
        <d v="2019-08-12T16:44:53.000"/>
        <d v="2019-08-12T16:55:50.000"/>
        <d v="2019-08-12T20:03:34.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
  <r>
    <s v="randydaledowns"/>
    <s v="washblade"/>
    <m/>
    <m/>
    <m/>
    <m/>
    <m/>
    <m/>
    <m/>
    <m/>
    <s v="No"/>
    <n v="3"/>
    <m/>
    <m/>
    <x v="0"/>
    <d v="2019-08-12T16:44:53.000"/>
    <s v="Please vote for @SocialDriver for Best LGBTQ-Owned Business in the @WashBlade #BestOfGayDC Awards!_x000a__x000a_And @RandyDaleDowns Best Public Offical! _x000a__x000a_VOTE HERE--&amp;gt; https://t.co/QqhnvUloaR https://t.co/pMhuEdRWbC"/>
    <s v="https://www.washingtonblade.com/2019/08/12/2019-best-of-gay-dc-finalist-voting/"/>
    <s v="washingtonblade.com"/>
    <x v="0"/>
    <s v="https://pbs.twimg.com/media/EByKs1kWwAEQNPB.jpg"/>
    <s v="https://pbs.twimg.com/media/EByKs1kWwAEQNPB.jpg"/>
    <x v="0"/>
    <s v="https://twitter.com/#!/randydaledowns/status/1160955325438210048"/>
    <m/>
    <m/>
    <s v="1160955325438210048"/>
    <m/>
    <b v="0"/>
    <n v="5"/>
    <s v=""/>
    <b v="0"/>
    <s v="en"/>
    <m/>
    <s v=""/>
    <b v="0"/>
    <n v="0"/>
    <s v=""/>
    <s v="Twitter Web App"/>
    <b v="0"/>
    <s v="1160955325438210048"/>
    <s v="Tweet"/>
    <n v="0"/>
    <n v="0"/>
    <m/>
    <m/>
    <m/>
    <m/>
    <m/>
    <m/>
    <m/>
    <m/>
    <n v="1"/>
    <s v="1"/>
    <s v="1"/>
    <m/>
    <m/>
    <m/>
    <m/>
    <m/>
    <m/>
    <m/>
    <m/>
    <m/>
  </r>
  <r>
    <s v="randydaledowns"/>
    <s v="socialdriver"/>
    <m/>
    <m/>
    <m/>
    <m/>
    <m/>
    <m/>
    <m/>
    <m/>
    <s v="No"/>
    <n v="4"/>
    <m/>
    <m/>
    <x v="0"/>
    <d v="2019-08-12T16:44:53.000"/>
    <s v="Please vote for @SocialDriver for Best LGBTQ-Owned Business in the @WashBlade #BestOfGayDC Awards!_x000a__x000a_And @RandyDaleDowns Best Public Offical! _x000a__x000a_VOTE HERE--&amp;gt; https://t.co/QqhnvUloaR https://t.co/pMhuEdRWbC"/>
    <s v="https://www.washingtonblade.com/2019/08/12/2019-best-of-gay-dc-finalist-voting/"/>
    <s v="washingtonblade.com"/>
    <x v="0"/>
    <s v="https://pbs.twimg.com/media/EByKs1kWwAEQNPB.jpg"/>
    <s v="https://pbs.twimg.com/media/EByKs1kWwAEQNPB.jpg"/>
    <x v="0"/>
    <s v="https://twitter.com/#!/randydaledowns/status/1160955325438210048"/>
    <m/>
    <m/>
    <s v="1160955325438210048"/>
    <m/>
    <b v="0"/>
    <n v="5"/>
    <s v=""/>
    <b v="0"/>
    <s v="en"/>
    <m/>
    <s v=""/>
    <b v="0"/>
    <n v="0"/>
    <s v=""/>
    <s v="Twitter Web App"/>
    <b v="0"/>
    <s v="1160955325438210048"/>
    <s v="Tweet"/>
    <n v="0"/>
    <n v="0"/>
    <m/>
    <m/>
    <m/>
    <m/>
    <m/>
    <m/>
    <m/>
    <m/>
    <n v="1"/>
    <s v="1"/>
    <s v="1"/>
    <n v="3"/>
    <n v="13.636363636363637"/>
    <n v="0"/>
    <n v="0"/>
    <n v="0"/>
    <n v="0"/>
    <n v="19"/>
    <n v="86.36363636363636"/>
    <n v="22"/>
  </r>
  <r>
    <s v="socialdriver"/>
    <s v="socialdriver"/>
    <m/>
    <m/>
    <m/>
    <m/>
    <m/>
    <m/>
    <m/>
    <m/>
    <s v="No"/>
    <n v="5"/>
    <m/>
    <m/>
    <x v="1"/>
    <d v="2019-08-12T16:55:50.000"/>
    <s v="Thanks! 🏳️‍🌈 We appreciate your vote! 🗳️ https://t.co/aCJmyjOE7b"/>
    <s v="https://twitter.com/RandyDaleDowns/status/1160955325438210048"/>
    <s v="twitter.com"/>
    <x v="1"/>
    <m/>
    <s v="http://pbs.twimg.com/profile_images/1155931839233703936/FsBJc9W0_normal.jpg"/>
    <x v="1"/>
    <s v="https://twitter.com/#!/socialdriver/status/1160958080831688704"/>
    <m/>
    <m/>
    <s v="1160958080831688704"/>
    <m/>
    <b v="0"/>
    <n v="4"/>
    <s v=""/>
    <b v="1"/>
    <s v="en"/>
    <m/>
    <s v="1160955325438210048"/>
    <b v="0"/>
    <n v="3"/>
    <s v=""/>
    <s v="Twitter for Android"/>
    <b v="0"/>
    <s v="1160958080831688704"/>
    <s v="Tweet"/>
    <n v="0"/>
    <n v="0"/>
    <s v="-77.119401,38.801826 _x000a_-76.909396,38.801826 _x000a_-76.909396,38.9953797 _x000a_-77.119401,38.9953797"/>
    <s v="United States"/>
    <s v="US"/>
    <s v="Washington, DC"/>
    <s v="01fbe706f872cb32"/>
    <s v="Washington"/>
    <s v="city"/>
    <s v="https://api.twitter.com/1.1/geo/id/01fbe706f872cb32.json"/>
    <n v="2"/>
    <s v="1"/>
    <s v="1"/>
    <n v="1"/>
    <n v="20"/>
    <n v="0"/>
    <n v="0"/>
    <n v="0"/>
    <n v="0"/>
    <n v="4"/>
    <n v="80"/>
    <n v="5"/>
  </r>
  <r>
    <s v="socialdriver"/>
    <s v="socialdriver"/>
    <m/>
    <m/>
    <m/>
    <m/>
    <m/>
    <m/>
    <m/>
    <m/>
    <s v="No"/>
    <n v="6"/>
    <m/>
    <m/>
    <x v="1"/>
    <d v="2019-08-12T20:03:34.000"/>
    <s v="Digital advertising requires a holistic plan to find and engage your audience. If you're an expert who can zero in on prospects based on demographics, intent, engagement patterns, and more, apply to be our next Senior Ads Specialist. #BeADriver https://t.co/CEtvSyeu4Y https://t.co/bLnj0Sxs9p"/>
    <s v="https://socialdriver.bamboohr.com/jobs/view.php?id=10&amp;utm_source=twitter&amp;utm_medium=o"/>
    <s v="bamboohr.com"/>
    <x v="2"/>
    <s v="https://pbs.twimg.com/media/EBy4MBAXsAADVvE.jpg"/>
    <s v="https://pbs.twimg.com/media/EBy4MBAXsAADVvE.jpg"/>
    <x v="2"/>
    <s v="https://twitter.com/#!/socialdriver/status/1161005324591140864"/>
    <m/>
    <m/>
    <s v="1161005324591140864"/>
    <m/>
    <b v="0"/>
    <n v="0"/>
    <s v=""/>
    <b v="0"/>
    <s v="en"/>
    <m/>
    <s v=""/>
    <b v="0"/>
    <n v="0"/>
    <s v=""/>
    <s v="Twitter Web App"/>
    <b v="0"/>
    <s v="1161005324591140864"/>
    <s v="Tweet"/>
    <n v="0"/>
    <n v="0"/>
    <m/>
    <m/>
    <m/>
    <m/>
    <m/>
    <m/>
    <m/>
    <m/>
    <n v="2"/>
    <s v="1"/>
    <s v="1"/>
    <n v="0"/>
    <n v="0"/>
    <n v="0"/>
    <n v="0"/>
    <n v="0"/>
    <n v="0"/>
    <n v="39"/>
    <n v="100"/>
    <n v="3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3">
        <i x="2"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6" totalsRowShown="0" headerRowDxfId="352" dataDxfId="351">
  <autoFilter ref="A2:BL6"/>
  <tableColumns count="64">
    <tableColumn id="1" name="Vertex 1" dataDxfId="350"/>
    <tableColumn id="2" name="Vertex 2" dataDxfId="349"/>
    <tableColumn id="3" name="Color" dataDxfId="348"/>
    <tableColumn id="4" name="Width" dataDxfId="347"/>
    <tableColumn id="11" name="Style" dataDxfId="346"/>
    <tableColumn id="5" name="Opacity" dataDxfId="345"/>
    <tableColumn id="6" name="Visibility" dataDxfId="344"/>
    <tableColumn id="10" name="Label" dataDxfId="343"/>
    <tableColumn id="12" name="Label Text Color" dataDxfId="342"/>
    <tableColumn id="13" name="Label Font Size" dataDxfId="341"/>
    <tableColumn id="14" name="Reciprocated?" dataDxfId="208"/>
    <tableColumn id="7" name="ID" dataDxfId="340"/>
    <tableColumn id="9" name="Dynamic Filter" dataDxfId="339"/>
    <tableColumn id="8" name="Add Your Own Columns Here" dataDxfId="338"/>
    <tableColumn id="15" name="Relationship" dataDxfId="337"/>
    <tableColumn id="16" name="Relationship Date (UTC)" dataDxfId="336"/>
    <tableColumn id="17" name="Tweet" dataDxfId="335"/>
    <tableColumn id="18" name="URLs in Tweet" dataDxfId="334"/>
    <tableColumn id="19" name="Domains in Tweet" dataDxfId="333"/>
    <tableColumn id="20" name="Hashtags in Tweet" dataDxfId="332"/>
    <tableColumn id="21" name="Media in Tweet" dataDxfId="331"/>
    <tableColumn id="22" name="Tweet Image File" dataDxfId="330"/>
    <tableColumn id="23" name="Tweet Date (UTC)" dataDxfId="329"/>
    <tableColumn id="24" name="Twitter Page for Tweet" dataDxfId="328"/>
    <tableColumn id="25" name="Latitude" dataDxfId="327"/>
    <tableColumn id="26" name="Longitude" dataDxfId="326"/>
    <tableColumn id="27" name="Imported ID" dataDxfId="325"/>
    <tableColumn id="28" name="In-Reply-To Tweet ID" dataDxfId="324"/>
    <tableColumn id="29" name="Favorited" dataDxfId="323"/>
    <tableColumn id="30" name="Favorite Count" dataDxfId="322"/>
    <tableColumn id="31" name="In-Reply-To User ID" dataDxfId="321"/>
    <tableColumn id="32" name="Is Quote Status" dataDxfId="320"/>
    <tableColumn id="33" name="Language" dataDxfId="319"/>
    <tableColumn id="34" name="Possibly Sensitive" dataDxfId="318"/>
    <tableColumn id="35" name="Quoted Status ID" dataDxfId="317"/>
    <tableColumn id="36" name="Retweeted" dataDxfId="316"/>
    <tableColumn id="37" name="Retweet Count" dataDxfId="315"/>
    <tableColumn id="38" name="Retweet ID" dataDxfId="314"/>
    <tableColumn id="39" name="Source" dataDxfId="313"/>
    <tableColumn id="40" name="Truncated" dataDxfId="312"/>
    <tableColumn id="41" name="Unified Twitter ID" dataDxfId="311"/>
    <tableColumn id="42" name="Imported Tweet Type" dataDxfId="310"/>
    <tableColumn id="43" name="Added By Extended Analysis" dataDxfId="309"/>
    <tableColumn id="44" name="Corrected By Extended Analysis" dataDxfId="308"/>
    <tableColumn id="45" name="Place Bounding Box" dataDxfId="307"/>
    <tableColumn id="46" name="Place Country" dataDxfId="306"/>
    <tableColumn id="47" name="Place Country Code" dataDxfId="305"/>
    <tableColumn id="48" name="Place Full Name" dataDxfId="304"/>
    <tableColumn id="49" name="Place ID" dataDxfId="303"/>
    <tableColumn id="50" name="Place Name" dataDxfId="302"/>
    <tableColumn id="51" name="Place Type" dataDxfId="301"/>
    <tableColumn id="52" name="Place URL" dataDxfId="300"/>
    <tableColumn id="53" name="Edge Weight"/>
    <tableColumn id="54" name="Vertex 1 Group" dataDxfId="223">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3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D4" totalsRowShown="0" headerRowDxfId="207" dataDxfId="206">
  <autoFilter ref="A1:D4"/>
  <tableColumns count="4">
    <tableColumn id="1" name="Top URLs in Tweet in Entire Graph" dataDxfId="205"/>
    <tableColumn id="2" name="Entire Graph Count" dataDxfId="204"/>
    <tableColumn id="3" name="Top URLs in Tweet in G1" dataDxfId="203"/>
    <tableColumn id="4" name="G1 Count" dataDxfId="202"/>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7:D10" totalsRowShown="0" headerRowDxfId="200" dataDxfId="199">
  <autoFilter ref="A7:D10"/>
  <tableColumns count="4">
    <tableColumn id="1" name="Top Domains in Tweet in Entire Graph" dataDxfId="198"/>
    <tableColumn id="2" name="Entire Graph Count" dataDxfId="197"/>
    <tableColumn id="3" name="Top Domains in Tweet in G1" dataDxfId="196"/>
    <tableColumn id="4" name="G1 Count" dataDxfId="195"/>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3:D15" totalsRowShown="0" headerRowDxfId="193" dataDxfId="192">
  <autoFilter ref="A13:D15"/>
  <tableColumns count="4">
    <tableColumn id="1" name="Top Hashtags in Tweet in Entire Graph" dataDxfId="191"/>
    <tableColumn id="2" name="Entire Graph Count" dataDxfId="190"/>
    <tableColumn id="3" name="Top Hashtags in Tweet in G1" dataDxfId="189"/>
    <tableColumn id="4" name="G1 Count" dataDxfId="18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8:D25" totalsRowShown="0" headerRowDxfId="186" dataDxfId="185">
  <autoFilter ref="A18:D25"/>
  <tableColumns count="4">
    <tableColumn id="1" name="Top Words in Tweet in Entire Graph" dataDxfId="184"/>
    <tableColumn id="2" name="Entire Graph Count" dataDxfId="183"/>
    <tableColumn id="3" name="Top Words in Tweet in G1" dataDxfId="182"/>
    <tableColumn id="4" name="G1 Count" dataDxfId="181"/>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28:D29" totalsRowShown="0" headerRowDxfId="179" dataDxfId="178">
  <autoFilter ref="A28:D29"/>
  <tableColumns count="4">
    <tableColumn id="1" name="Top Word Pairs in Tweet in Entire Graph" dataDxfId="177"/>
    <tableColumn id="2" name="Entire Graph Count" dataDxfId="176"/>
    <tableColumn id="3" name="Top Word Pairs in Tweet in G1" dataDxfId="175"/>
    <tableColumn id="4" name="G1 Count" dataDxfId="174"/>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31:D32" totalsRowShown="0" headerRowDxfId="172" dataDxfId="171">
  <autoFilter ref="A31:D32"/>
  <tableColumns count="4">
    <tableColumn id="1" name="Top Replied-To in Entire Graph" dataDxfId="170"/>
    <tableColumn id="2" name="Entire Graph Count" dataDxfId="166"/>
    <tableColumn id="3" name="Top Replied-To in G1" dataDxfId="165"/>
    <tableColumn id="4" name="G1 Count" dataDxfId="164"/>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34:D37" totalsRowShown="0" headerRowDxfId="169" dataDxfId="168">
  <autoFilter ref="A34:D37"/>
  <tableColumns count="4">
    <tableColumn id="1" name="Top Mentioned in Entire Graph" dataDxfId="167"/>
    <tableColumn id="2" name="Entire Graph Count" dataDxfId="163"/>
    <tableColumn id="3" name="Top Mentioned in G1" dataDxfId="162"/>
    <tableColumn id="4" name="G1 Count" dataDxfId="161"/>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40:D43" totalsRowShown="0" headerRowDxfId="158" dataDxfId="157">
  <autoFilter ref="A40:D43"/>
  <tableColumns count="4">
    <tableColumn id="1" name="Top Tweeters in Entire Graph" dataDxfId="156"/>
    <tableColumn id="2" name="Entire Graph Count" dataDxfId="155"/>
    <tableColumn id="3" name="Top Tweeters in G1" dataDxfId="154"/>
    <tableColumn id="4" name="G1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0" totalsRowShown="0" headerRowDxfId="141" dataDxfId="140">
  <autoFilter ref="A1:G10"/>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5" totalsRowShown="0" headerRowDxfId="299" dataDxfId="298">
  <autoFilter ref="A2:BS5"/>
  <tableColumns count="71">
    <tableColumn id="1" name="Vertex" dataDxfId="297"/>
    <tableColumn id="2" name="Color" dataDxfId="296"/>
    <tableColumn id="5" name="Shape" dataDxfId="295"/>
    <tableColumn id="6" name="Size" dataDxfId="294"/>
    <tableColumn id="4" name="Opacity" dataDxfId="293"/>
    <tableColumn id="7" name="Image File" dataDxfId="292"/>
    <tableColumn id="3" name="Visibility" dataDxfId="291"/>
    <tableColumn id="10" name="Label" dataDxfId="290"/>
    <tableColumn id="16" name="Label Fill Color" dataDxfId="289"/>
    <tableColumn id="9" name="Label Position" dataDxfId="288"/>
    <tableColumn id="8" name="Tooltip" dataDxfId="287"/>
    <tableColumn id="18" name="Layout Order" dataDxfId="286"/>
    <tableColumn id="13" name="X" dataDxfId="285"/>
    <tableColumn id="14" name="Y" dataDxfId="284"/>
    <tableColumn id="12" name="Locked?" dataDxfId="283"/>
    <tableColumn id="19" name="Polar R" dataDxfId="282"/>
    <tableColumn id="20" name="Polar Angle" dataDxfId="281"/>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280"/>
    <tableColumn id="28" name="Dynamic Filter" dataDxfId="279"/>
    <tableColumn id="17" name="Add Your Own Columns Here" dataDxfId="278"/>
    <tableColumn id="30" name="Name" dataDxfId="277"/>
    <tableColumn id="31" name="Followed" dataDxfId="276"/>
    <tableColumn id="32" name="Followers" dataDxfId="275"/>
    <tableColumn id="33" name="Tweets" dataDxfId="274"/>
    <tableColumn id="34" name="Favorites" dataDxfId="273"/>
    <tableColumn id="35" name="Time Zone UTC Offset (Seconds)" dataDxfId="272"/>
    <tableColumn id="36" name="Description" dataDxfId="271"/>
    <tableColumn id="37" name="Location" dataDxfId="270"/>
    <tableColumn id="38" name="Web" dataDxfId="269"/>
    <tableColumn id="39" name="Time Zone" dataDxfId="268"/>
    <tableColumn id="40" name="Joined Twitter Date (UTC)" dataDxfId="267"/>
    <tableColumn id="41" name="Profile Banner Url" dataDxfId="266"/>
    <tableColumn id="42" name="Default Profile" dataDxfId="265"/>
    <tableColumn id="43" name="Default Profile Image" dataDxfId="264"/>
    <tableColumn id="44" name="Geo Enabled" dataDxfId="263"/>
    <tableColumn id="45" name="Language" dataDxfId="262"/>
    <tableColumn id="46" name="Listed Count" dataDxfId="261"/>
    <tableColumn id="47" name="Profile Background Image Url" dataDxfId="260"/>
    <tableColumn id="48" name="Verified" dataDxfId="259"/>
    <tableColumn id="49" name="Custom Menu Item Text" dataDxfId="258"/>
    <tableColumn id="50" name="Custom Menu Item Action" dataDxfId="257"/>
    <tableColumn id="51" name="Tweeted Search Term?" dataDxfId="224"/>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132" dataDxfId="131">
  <autoFilter ref="A1:L2"/>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 totalsRowShown="0" headerRowDxfId="88" dataDxfId="87">
  <autoFilter ref="A2:C3"/>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6" totalsRowShown="0" headerRowDxfId="64" dataDxfId="63">
  <autoFilter ref="A2:BL6"/>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4" totalsRowShown="0" headerRowDxfId="70" dataDxfId="69">
  <autoFilter ref="A1:B4"/>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56">
  <autoFilter ref="A2:AO3"/>
  <tableColumns count="41">
    <tableColumn id="1" name="Group" dataDxfId="231"/>
    <tableColumn id="2" name="Vertex Color" dataDxfId="230"/>
    <tableColumn id="3" name="Vertex Shape" dataDxfId="228"/>
    <tableColumn id="22" name="Visibility" dataDxfId="229"/>
    <tableColumn id="4" name="Collapsed?"/>
    <tableColumn id="18" name="Label" dataDxfId="255"/>
    <tableColumn id="20" name="Collapsed X"/>
    <tableColumn id="21" name="Collapsed Y"/>
    <tableColumn id="6" name="ID" dataDxfId="254"/>
    <tableColumn id="19" name="Collapsed Properties" dataDxfId="222"/>
    <tableColumn id="5" name="Vertices" dataDxfId="221"/>
    <tableColumn id="7" name="Unique Edges" dataDxfId="220"/>
    <tableColumn id="8" name="Edges With Duplicates" dataDxfId="219"/>
    <tableColumn id="9" name="Total Edges" dataDxfId="218"/>
    <tableColumn id="10" name="Self-Loops" dataDxfId="217"/>
    <tableColumn id="24" name="Reciprocated Vertex Pair Ratio" dataDxfId="216"/>
    <tableColumn id="25" name="Reciprocated Edge Ratio" dataDxfId="215"/>
    <tableColumn id="11" name="Connected Components" dataDxfId="214"/>
    <tableColumn id="12" name="Single-Vertex Connected Components" dataDxfId="213"/>
    <tableColumn id="13" name="Maximum Vertices in a Connected Component" dataDxfId="212"/>
    <tableColumn id="14" name="Maximum Edges in a Connected Component" dataDxfId="211"/>
    <tableColumn id="15" name="Maximum Geodesic Distance (Diameter)" dataDxfId="210"/>
    <tableColumn id="16" name="Average Geodesic Distance" dataDxfId="209"/>
    <tableColumn id="17" name="Graph Density" dataDxfId="201"/>
    <tableColumn id="23" name="Top URLs in Tweet" dataDxfId="194"/>
    <tableColumn id="26" name="Top Domains in Tweet" dataDxfId="187"/>
    <tableColumn id="27" name="Top Hashtags in Tweet" dataDxfId="180"/>
    <tableColumn id="28" name="Top Words in Tweet" dataDxfId="173"/>
    <tableColumn id="29" name="Top Word Pairs in Tweet" dataDxfId="160"/>
    <tableColumn id="30" name="Top Replied-To in Tweet" dataDxfId="159"/>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253" dataDxfId="252">
  <autoFilter ref="A1:C4"/>
  <tableColumns count="3">
    <tableColumn id="1" name="Group" dataDxfId="227"/>
    <tableColumn id="2" name="Vertex" dataDxfId="226"/>
    <tableColumn id="3" name="Vertex ID" dataDxfId="22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51"/>
    <tableColumn id="2" name="Degree Frequency" dataDxfId="250">
      <calculatedColumnFormula>COUNTIF(Vertices[Degree], "&gt;= " &amp; D2) - COUNTIF(Vertices[Degree], "&gt;=" &amp; D3)</calculatedColumnFormula>
    </tableColumn>
    <tableColumn id="3" name="In-Degree Bin" dataDxfId="249"/>
    <tableColumn id="4" name="In-Degree Frequency" dataDxfId="248">
      <calculatedColumnFormula>COUNTIF(Vertices[In-Degree], "&gt;= " &amp; F2) - COUNTIF(Vertices[In-Degree], "&gt;=" &amp; F3)</calculatedColumnFormula>
    </tableColumn>
    <tableColumn id="5" name="Out-Degree Bin" dataDxfId="247"/>
    <tableColumn id="6" name="Out-Degree Frequency" dataDxfId="246">
      <calculatedColumnFormula>COUNTIF(Vertices[Out-Degree], "&gt;= " &amp; H2) - COUNTIF(Vertices[Out-Degree], "&gt;=" &amp; H3)</calculatedColumnFormula>
    </tableColumn>
    <tableColumn id="7" name="Betweenness Centrality Bin" dataDxfId="245"/>
    <tableColumn id="8" name="Betweenness Centrality Frequency" dataDxfId="244">
      <calculatedColumnFormula>COUNTIF(Vertices[Betweenness Centrality], "&gt;= " &amp; J2) - COUNTIF(Vertices[Betweenness Centrality], "&gt;=" &amp; J3)</calculatedColumnFormula>
    </tableColumn>
    <tableColumn id="9" name="Closeness Centrality Bin" dataDxfId="243"/>
    <tableColumn id="10" name="Closeness Centrality Frequency" dataDxfId="242">
      <calculatedColumnFormula>COUNTIF(Vertices[Closeness Centrality], "&gt;= " &amp; L2) - COUNTIF(Vertices[Closeness Centrality], "&gt;=" &amp; L3)</calculatedColumnFormula>
    </tableColumn>
    <tableColumn id="11" name="Eigenvector Centrality Bin" dataDxfId="241"/>
    <tableColumn id="12" name="Eigenvector Centrality Frequency" dataDxfId="240">
      <calculatedColumnFormula>COUNTIF(Vertices[Eigenvector Centrality], "&gt;= " &amp; N2) - COUNTIF(Vertices[Eigenvector Centrality], "&gt;=" &amp; N3)</calculatedColumnFormula>
    </tableColumn>
    <tableColumn id="18" name="PageRank Bin" dataDxfId="239"/>
    <tableColumn id="17" name="PageRank Frequency" dataDxfId="238">
      <calculatedColumnFormula>COUNTIF(Vertices[Eigenvector Centrality], "&gt;= " &amp; P2) - COUNTIF(Vertices[Eigenvector Centrality], "&gt;=" &amp; P3)</calculatedColumnFormula>
    </tableColumn>
    <tableColumn id="13" name="Clustering Coefficient Bin" dataDxfId="237"/>
    <tableColumn id="14" name="Clustering Coefficient Frequency" dataDxfId="236">
      <calculatedColumnFormula>COUNTIF(Vertices[Clustering Coefficient], "&gt;= " &amp; R2) - COUNTIF(Vertices[Clustering Coefficient], "&gt;=" &amp; R3)</calculatedColumnFormula>
    </tableColumn>
    <tableColumn id="15" name="Dynamic Filter Bin" dataDxfId="235"/>
    <tableColumn id="16" name="Dynamic Filter Frequency" dataDxfId="23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3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washingtonblade.com/2019/08/12/2019-best-of-gay-dc-finalist-voting/" TargetMode="External" /><Relationship Id="rId2" Type="http://schemas.openxmlformats.org/officeDocument/2006/relationships/hyperlink" Target="https://www.washingtonblade.com/2019/08/12/2019-best-of-gay-dc-finalist-voting/" TargetMode="External" /><Relationship Id="rId3" Type="http://schemas.openxmlformats.org/officeDocument/2006/relationships/hyperlink" Target="https://twitter.com/RandyDaleDowns/status/1160955325438210048" TargetMode="External" /><Relationship Id="rId4" Type="http://schemas.openxmlformats.org/officeDocument/2006/relationships/hyperlink" Target="https://socialdriver.bamboohr.com/jobs/view.php?id=10&amp;utm_source=twitter&amp;utm_medium=o" TargetMode="External" /><Relationship Id="rId5" Type="http://schemas.openxmlformats.org/officeDocument/2006/relationships/hyperlink" Target="https://pbs.twimg.com/media/EByKs1kWwAEQNPB.jpg" TargetMode="External" /><Relationship Id="rId6" Type="http://schemas.openxmlformats.org/officeDocument/2006/relationships/hyperlink" Target="https://pbs.twimg.com/media/EByKs1kWwAEQNPB.jpg" TargetMode="External" /><Relationship Id="rId7" Type="http://schemas.openxmlformats.org/officeDocument/2006/relationships/hyperlink" Target="https://pbs.twimg.com/media/EBy4MBAXsAADVvE.jpg" TargetMode="External" /><Relationship Id="rId8" Type="http://schemas.openxmlformats.org/officeDocument/2006/relationships/hyperlink" Target="https://pbs.twimg.com/media/EByKs1kWwAEQNPB.jpg" TargetMode="External" /><Relationship Id="rId9" Type="http://schemas.openxmlformats.org/officeDocument/2006/relationships/hyperlink" Target="https://pbs.twimg.com/media/EByKs1kWwAEQNPB.jpg" TargetMode="External" /><Relationship Id="rId10" Type="http://schemas.openxmlformats.org/officeDocument/2006/relationships/hyperlink" Target="http://pbs.twimg.com/profile_images/1155931839233703936/FsBJc9W0_normal.jpg" TargetMode="External" /><Relationship Id="rId11" Type="http://schemas.openxmlformats.org/officeDocument/2006/relationships/hyperlink" Target="https://pbs.twimg.com/media/EBy4MBAXsAADVvE.jpg" TargetMode="External" /><Relationship Id="rId12" Type="http://schemas.openxmlformats.org/officeDocument/2006/relationships/hyperlink" Target="https://twitter.com/#!/randydaledowns/status/1160955325438210048" TargetMode="External" /><Relationship Id="rId13" Type="http://schemas.openxmlformats.org/officeDocument/2006/relationships/hyperlink" Target="https://twitter.com/#!/randydaledowns/status/1160955325438210048" TargetMode="External" /><Relationship Id="rId14" Type="http://schemas.openxmlformats.org/officeDocument/2006/relationships/hyperlink" Target="https://twitter.com/#!/socialdriver/status/1160958080831688704" TargetMode="External" /><Relationship Id="rId15" Type="http://schemas.openxmlformats.org/officeDocument/2006/relationships/hyperlink" Target="https://twitter.com/#!/socialdriver/status/1161005324591140864" TargetMode="External" /><Relationship Id="rId16" Type="http://schemas.openxmlformats.org/officeDocument/2006/relationships/hyperlink" Target="https://api.twitter.com/1.1/geo/id/01fbe706f872cb32.json" TargetMode="External" /><Relationship Id="rId17" Type="http://schemas.openxmlformats.org/officeDocument/2006/relationships/comments" Target="../comments1.xml" /><Relationship Id="rId18" Type="http://schemas.openxmlformats.org/officeDocument/2006/relationships/vmlDrawing" Target="../drawings/vmlDrawing1.vml" /><Relationship Id="rId19" Type="http://schemas.openxmlformats.org/officeDocument/2006/relationships/table" Target="../tables/table1.xml" /><Relationship Id="rId2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washingtonblade.com/2019/08/12/2019-best-of-gay-dc-finalist-voting/" TargetMode="External" /><Relationship Id="rId2" Type="http://schemas.openxmlformats.org/officeDocument/2006/relationships/hyperlink" Target="https://www.washingtonblade.com/2019/08/12/2019-best-of-gay-dc-finalist-voting/" TargetMode="External" /><Relationship Id="rId3" Type="http://schemas.openxmlformats.org/officeDocument/2006/relationships/hyperlink" Target="https://twitter.com/RandyDaleDowns/status/1160955325438210048" TargetMode="External" /><Relationship Id="rId4" Type="http://schemas.openxmlformats.org/officeDocument/2006/relationships/hyperlink" Target="https://socialdriver.bamboohr.com/jobs/view.php?id=10&amp;utm_source=twitter&amp;utm_medium=o" TargetMode="External" /><Relationship Id="rId5" Type="http://schemas.openxmlformats.org/officeDocument/2006/relationships/hyperlink" Target="https://pbs.twimg.com/media/EByKs1kWwAEQNPB.jpg" TargetMode="External" /><Relationship Id="rId6" Type="http://schemas.openxmlformats.org/officeDocument/2006/relationships/hyperlink" Target="https://pbs.twimg.com/media/EByKs1kWwAEQNPB.jpg" TargetMode="External" /><Relationship Id="rId7" Type="http://schemas.openxmlformats.org/officeDocument/2006/relationships/hyperlink" Target="https://pbs.twimg.com/media/EBy4MBAXsAADVvE.jpg" TargetMode="External" /><Relationship Id="rId8" Type="http://schemas.openxmlformats.org/officeDocument/2006/relationships/hyperlink" Target="https://pbs.twimg.com/media/EByKs1kWwAEQNPB.jpg" TargetMode="External" /><Relationship Id="rId9" Type="http://schemas.openxmlformats.org/officeDocument/2006/relationships/hyperlink" Target="https://pbs.twimg.com/media/EByKs1kWwAEQNPB.jpg" TargetMode="External" /><Relationship Id="rId10" Type="http://schemas.openxmlformats.org/officeDocument/2006/relationships/hyperlink" Target="http://pbs.twimg.com/profile_images/1155931839233703936/FsBJc9W0_normal.jpg" TargetMode="External" /><Relationship Id="rId11" Type="http://schemas.openxmlformats.org/officeDocument/2006/relationships/hyperlink" Target="https://pbs.twimg.com/media/EBy4MBAXsAADVvE.jpg" TargetMode="External" /><Relationship Id="rId12" Type="http://schemas.openxmlformats.org/officeDocument/2006/relationships/hyperlink" Target="https://twitter.com/#!/randydaledowns/status/1160955325438210048" TargetMode="External" /><Relationship Id="rId13" Type="http://schemas.openxmlformats.org/officeDocument/2006/relationships/hyperlink" Target="https://twitter.com/#!/randydaledowns/status/1160955325438210048" TargetMode="External" /><Relationship Id="rId14" Type="http://schemas.openxmlformats.org/officeDocument/2006/relationships/hyperlink" Target="https://twitter.com/#!/socialdriver/status/1160958080831688704" TargetMode="External" /><Relationship Id="rId15" Type="http://schemas.openxmlformats.org/officeDocument/2006/relationships/hyperlink" Target="https://twitter.com/#!/socialdriver/status/1161005324591140864" TargetMode="External" /><Relationship Id="rId16" Type="http://schemas.openxmlformats.org/officeDocument/2006/relationships/hyperlink" Target="https://api.twitter.com/1.1/geo/id/01fbe706f872cb32.json" TargetMode="External" /><Relationship Id="rId17" Type="http://schemas.openxmlformats.org/officeDocument/2006/relationships/comments" Target="../comments13.xml" /><Relationship Id="rId18" Type="http://schemas.openxmlformats.org/officeDocument/2006/relationships/vmlDrawing" Target="../drawings/vmlDrawing6.vml" /><Relationship Id="rId19" Type="http://schemas.openxmlformats.org/officeDocument/2006/relationships/table" Target="../tables/table23.xml" /><Relationship Id="rId20"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randydowns.org/" TargetMode="External" /><Relationship Id="rId2" Type="http://schemas.openxmlformats.org/officeDocument/2006/relationships/hyperlink" Target="https://t.co/EYyumxOmGA" TargetMode="External" /><Relationship Id="rId3" Type="http://schemas.openxmlformats.org/officeDocument/2006/relationships/hyperlink" Target="https://t.co/rO671IVecy" TargetMode="External" /><Relationship Id="rId4" Type="http://schemas.openxmlformats.org/officeDocument/2006/relationships/hyperlink" Target="https://pbs.twimg.com/profile_banners/458026132/1498236147" TargetMode="External" /><Relationship Id="rId5" Type="http://schemas.openxmlformats.org/officeDocument/2006/relationships/hyperlink" Target="https://pbs.twimg.com/profile_banners/19918986/1537457984" TargetMode="External" /><Relationship Id="rId6" Type="http://schemas.openxmlformats.org/officeDocument/2006/relationships/hyperlink" Target="https://pbs.twimg.com/profile_banners/309849736/1531919350" TargetMode="External" /><Relationship Id="rId7" Type="http://schemas.openxmlformats.org/officeDocument/2006/relationships/hyperlink" Target="http://abs.twimg.com/images/themes/theme1/bg.png" TargetMode="External" /><Relationship Id="rId8" Type="http://schemas.openxmlformats.org/officeDocument/2006/relationships/hyperlink" Target="http://abs.twimg.com/images/themes/theme10/bg.gif" TargetMode="External" /><Relationship Id="rId9" Type="http://schemas.openxmlformats.org/officeDocument/2006/relationships/hyperlink" Target="http://abs.twimg.com/images/themes/theme14/bg.gif" TargetMode="External" /><Relationship Id="rId10" Type="http://schemas.openxmlformats.org/officeDocument/2006/relationships/hyperlink" Target="http://pbs.twimg.com/profile_images/1070725409317273600/VqVA4nUQ_normal.jpg" TargetMode="External" /><Relationship Id="rId11" Type="http://schemas.openxmlformats.org/officeDocument/2006/relationships/hyperlink" Target="http://pbs.twimg.com/profile_images/839915256906330112/aMokf8Qm_normal.jpg" TargetMode="External" /><Relationship Id="rId12" Type="http://schemas.openxmlformats.org/officeDocument/2006/relationships/hyperlink" Target="http://pbs.twimg.com/profile_images/1155931839233703936/FsBJc9W0_normal.jpg" TargetMode="External" /><Relationship Id="rId13" Type="http://schemas.openxmlformats.org/officeDocument/2006/relationships/hyperlink" Target="https://twitter.com/randydaledowns" TargetMode="External" /><Relationship Id="rId14" Type="http://schemas.openxmlformats.org/officeDocument/2006/relationships/hyperlink" Target="https://twitter.com/washblade" TargetMode="External" /><Relationship Id="rId15" Type="http://schemas.openxmlformats.org/officeDocument/2006/relationships/hyperlink" Target="https://twitter.com/socialdriver" TargetMode="External" /><Relationship Id="rId16" Type="http://schemas.openxmlformats.org/officeDocument/2006/relationships/comments" Target="../comments2.xml" /><Relationship Id="rId17" Type="http://schemas.openxmlformats.org/officeDocument/2006/relationships/vmlDrawing" Target="../drawings/vmlDrawing2.vml" /><Relationship Id="rId18" Type="http://schemas.openxmlformats.org/officeDocument/2006/relationships/table" Target="../tables/table2.xml" /><Relationship Id="rId1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socialdriver.bamboohr.com/jobs/view.php?id=10&amp;utm_source=twitter&amp;utm_medium=o" TargetMode="External" /><Relationship Id="rId2" Type="http://schemas.openxmlformats.org/officeDocument/2006/relationships/hyperlink" Target="https://twitter.com/RandyDaleDowns/status/1160955325438210048" TargetMode="External" /><Relationship Id="rId3" Type="http://schemas.openxmlformats.org/officeDocument/2006/relationships/hyperlink" Target="https://www.washingtonblade.com/2019/08/12/2019-best-of-gay-dc-finalist-voting/" TargetMode="External" /><Relationship Id="rId4" Type="http://schemas.openxmlformats.org/officeDocument/2006/relationships/hyperlink" Target="https://socialdriver.bamboohr.com/jobs/view.php?id=10&amp;utm_source=twitter&amp;utm_medium=o" TargetMode="External" /><Relationship Id="rId5" Type="http://schemas.openxmlformats.org/officeDocument/2006/relationships/hyperlink" Target="https://twitter.com/RandyDaleDowns/status/1160955325438210048" TargetMode="External" /><Relationship Id="rId6" Type="http://schemas.openxmlformats.org/officeDocument/2006/relationships/hyperlink" Target="https://www.washingtonblade.com/2019/08/12/2019-best-of-gay-dc-finalist-voting/" TargetMode="External" /><Relationship Id="rId7" Type="http://schemas.openxmlformats.org/officeDocument/2006/relationships/table" Target="../tables/table11.xml" /><Relationship Id="rId8" Type="http://schemas.openxmlformats.org/officeDocument/2006/relationships/table" Target="../tables/table12.xml" /><Relationship Id="rId9" Type="http://schemas.openxmlformats.org/officeDocument/2006/relationships/table" Target="../tables/table13.xml" /><Relationship Id="rId10" Type="http://schemas.openxmlformats.org/officeDocument/2006/relationships/table" Target="../tables/table14.xml" /><Relationship Id="rId11" Type="http://schemas.openxmlformats.org/officeDocument/2006/relationships/table" Target="../tables/table15.xml" /><Relationship Id="rId12" Type="http://schemas.openxmlformats.org/officeDocument/2006/relationships/table" Target="../tables/table16.xml" /><Relationship Id="rId13" Type="http://schemas.openxmlformats.org/officeDocument/2006/relationships/table" Target="../tables/table17.xml" /><Relationship Id="rId14"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5"/>
      <c r="J1" s="65"/>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332</v>
      </c>
      <c r="BB2" s="13" t="s">
        <v>336</v>
      </c>
      <c r="BC2" s="13" t="s">
        <v>337</v>
      </c>
      <c r="BD2" s="68" t="s">
        <v>409</v>
      </c>
      <c r="BE2" s="68" t="s">
        <v>410</v>
      </c>
      <c r="BF2" s="68" t="s">
        <v>411</v>
      </c>
      <c r="BG2" s="68" t="s">
        <v>412</v>
      </c>
      <c r="BH2" s="68" t="s">
        <v>413</v>
      </c>
      <c r="BI2" s="68" t="s">
        <v>414</v>
      </c>
      <c r="BJ2" s="68" t="s">
        <v>415</v>
      </c>
      <c r="BK2" s="68" t="s">
        <v>416</v>
      </c>
      <c r="BL2" s="68" t="s">
        <v>417</v>
      </c>
    </row>
    <row r="3" spans="1:64" ht="15" customHeight="1">
      <c r="A3" s="85" t="s">
        <v>212</v>
      </c>
      <c r="B3" s="85" t="s">
        <v>214</v>
      </c>
      <c r="C3" s="53" t="s">
        <v>444</v>
      </c>
      <c r="D3" s="54">
        <v>3</v>
      </c>
      <c r="E3" s="66" t="s">
        <v>132</v>
      </c>
      <c r="F3" s="55">
        <v>35</v>
      </c>
      <c r="G3" s="53"/>
      <c r="H3" s="57"/>
      <c r="I3" s="56"/>
      <c r="J3" s="56"/>
      <c r="K3" s="36" t="s">
        <v>65</v>
      </c>
      <c r="L3" s="62">
        <v>3</v>
      </c>
      <c r="M3" s="62"/>
      <c r="N3" s="63"/>
      <c r="O3" s="86" t="s">
        <v>215</v>
      </c>
      <c r="P3" s="88">
        <v>43689.69783564815</v>
      </c>
      <c r="Q3" s="86" t="s">
        <v>216</v>
      </c>
      <c r="R3" s="90" t="s">
        <v>219</v>
      </c>
      <c r="S3" s="86" t="s">
        <v>222</v>
      </c>
      <c r="T3" s="86" t="s">
        <v>225</v>
      </c>
      <c r="U3" s="90" t="s">
        <v>227</v>
      </c>
      <c r="V3" s="90" t="s">
        <v>227</v>
      </c>
      <c r="W3" s="88">
        <v>43689.69783564815</v>
      </c>
      <c r="X3" s="90" t="s">
        <v>230</v>
      </c>
      <c r="Y3" s="86"/>
      <c r="Z3" s="86"/>
      <c r="AA3" s="92" t="s">
        <v>233</v>
      </c>
      <c r="AB3" s="86"/>
      <c r="AC3" s="86" t="b">
        <v>0</v>
      </c>
      <c r="AD3" s="86">
        <v>5</v>
      </c>
      <c r="AE3" s="92" t="s">
        <v>236</v>
      </c>
      <c r="AF3" s="86" t="b">
        <v>0</v>
      </c>
      <c r="AG3" s="86" t="s">
        <v>237</v>
      </c>
      <c r="AH3" s="86"/>
      <c r="AI3" s="92" t="s">
        <v>236</v>
      </c>
      <c r="AJ3" s="86" t="b">
        <v>0</v>
      </c>
      <c r="AK3" s="86">
        <v>0</v>
      </c>
      <c r="AL3" s="92" t="s">
        <v>236</v>
      </c>
      <c r="AM3" s="86" t="s">
        <v>238</v>
      </c>
      <c r="AN3" s="86" t="b">
        <v>0</v>
      </c>
      <c r="AO3" s="92" t="s">
        <v>233</v>
      </c>
      <c r="AP3" s="86" t="s">
        <v>176</v>
      </c>
      <c r="AQ3" s="86">
        <v>0</v>
      </c>
      <c r="AR3" s="86">
        <v>0</v>
      </c>
      <c r="AS3" s="86"/>
      <c r="AT3" s="86"/>
      <c r="AU3" s="86"/>
      <c r="AV3" s="86"/>
      <c r="AW3" s="86"/>
      <c r="AX3" s="86"/>
      <c r="AY3" s="86"/>
      <c r="AZ3" s="86"/>
      <c r="BA3">
        <v>1</v>
      </c>
      <c r="BB3" s="86" t="str">
        <f>REPLACE(INDEX(GroupVertices[Group],MATCH(Edges[[#This Row],[Vertex 1]],GroupVertices[Vertex],0)),1,1,"")</f>
        <v>1</v>
      </c>
      <c r="BC3" s="86" t="str">
        <f>REPLACE(INDEX(GroupVertices[Group],MATCH(Edges[[#This Row],[Vertex 2]],GroupVertices[Vertex],0)),1,1,"")</f>
        <v>1</v>
      </c>
      <c r="BD3" s="51"/>
      <c r="BE3" s="52"/>
      <c r="BF3" s="51"/>
      <c r="BG3" s="52"/>
      <c r="BH3" s="51"/>
      <c r="BI3" s="52"/>
      <c r="BJ3" s="51"/>
      <c r="BK3" s="52"/>
      <c r="BL3" s="51"/>
    </row>
    <row r="4" spans="1:64" ht="15" customHeight="1">
      <c r="A4" s="85" t="s">
        <v>212</v>
      </c>
      <c r="B4" s="85" t="s">
        <v>213</v>
      </c>
      <c r="C4" s="53" t="s">
        <v>444</v>
      </c>
      <c r="D4" s="54">
        <v>3</v>
      </c>
      <c r="E4" s="66" t="s">
        <v>132</v>
      </c>
      <c r="F4" s="55">
        <v>35</v>
      </c>
      <c r="G4" s="53"/>
      <c r="H4" s="57"/>
      <c r="I4" s="56"/>
      <c r="J4" s="56"/>
      <c r="K4" s="36" t="s">
        <v>65</v>
      </c>
      <c r="L4" s="84">
        <v>4</v>
      </c>
      <c r="M4" s="84"/>
      <c r="N4" s="63"/>
      <c r="O4" s="87" t="s">
        <v>215</v>
      </c>
      <c r="P4" s="89">
        <v>43689.69783564815</v>
      </c>
      <c r="Q4" s="87" t="s">
        <v>216</v>
      </c>
      <c r="R4" s="91" t="s">
        <v>219</v>
      </c>
      <c r="S4" s="87" t="s">
        <v>222</v>
      </c>
      <c r="T4" s="87" t="s">
        <v>225</v>
      </c>
      <c r="U4" s="91" t="s">
        <v>227</v>
      </c>
      <c r="V4" s="91" t="s">
        <v>227</v>
      </c>
      <c r="W4" s="89">
        <v>43689.69783564815</v>
      </c>
      <c r="X4" s="91" t="s">
        <v>230</v>
      </c>
      <c r="Y4" s="87"/>
      <c r="Z4" s="87"/>
      <c r="AA4" s="93" t="s">
        <v>233</v>
      </c>
      <c r="AB4" s="87"/>
      <c r="AC4" s="87" t="b">
        <v>0</v>
      </c>
      <c r="AD4" s="87">
        <v>5</v>
      </c>
      <c r="AE4" s="93" t="s">
        <v>236</v>
      </c>
      <c r="AF4" s="87" t="b">
        <v>0</v>
      </c>
      <c r="AG4" s="87" t="s">
        <v>237</v>
      </c>
      <c r="AH4" s="87"/>
      <c r="AI4" s="93" t="s">
        <v>236</v>
      </c>
      <c r="AJ4" s="87" t="b">
        <v>0</v>
      </c>
      <c r="AK4" s="87">
        <v>0</v>
      </c>
      <c r="AL4" s="93" t="s">
        <v>236</v>
      </c>
      <c r="AM4" s="87" t="s">
        <v>238</v>
      </c>
      <c r="AN4" s="87" t="b">
        <v>0</v>
      </c>
      <c r="AO4" s="93" t="s">
        <v>233</v>
      </c>
      <c r="AP4" s="87" t="s">
        <v>176</v>
      </c>
      <c r="AQ4" s="87">
        <v>0</v>
      </c>
      <c r="AR4" s="87">
        <v>0</v>
      </c>
      <c r="AS4" s="87"/>
      <c r="AT4" s="87"/>
      <c r="AU4" s="87"/>
      <c r="AV4" s="87"/>
      <c r="AW4" s="87"/>
      <c r="AX4" s="87"/>
      <c r="AY4" s="87"/>
      <c r="AZ4" s="87"/>
      <c r="BA4">
        <v>1</v>
      </c>
      <c r="BB4" s="86" t="str">
        <f>REPLACE(INDEX(GroupVertices[Group],MATCH(Edges[[#This Row],[Vertex 1]],GroupVertices[Vertex],0)),1,1,"")</f>
        <v>1</v>
      </c>
      <c r="BC4" s="86" t="str">
        <f>REPLACE(INDEX(GroupVertices[Group],MATCH(Edges[[#This Row],[Vertex 2]],GroupVertices[Vertex],0)),1,1,"")</f>
        <v>1</v>
      </c>
      <c r="BD4" s="51">
        <v>3</v>
      </c>
      <c r="BE4" s="52">
        <v>13.636363636363637</v>
      </c>
      <c r="BF4" s="51">
        <v>0</v>
      </c>
      <c r="BG4" s="52">
        <v>0</v>
      </c>
      <c r="BH4" s="51">
        <v>0</v>
      </c>
      <c r="BI4" s="52">
        <v>0</v>
      </c>
      <c r="BJ4" s="51">
        <v>19</v>
      </c>
      <c r="BK4" s="52">
        <v>86.36363636363636</v>
      </c>
      <c r="BL4" s="51">
        <v>22</v>
      </c>
    </row>
    <row r="5" spans="1:64" ht="30">
      <c r="A5" s="85" t="s">
        <v>213</v>
      </c>
      <c r="B5" s="85" t="s">
        <v>213</v>
      </c>
      <c r="C5" s="53" t="s">
        <v>445</v>
      </c>
      <c r="D5" s="54">
        <v>10</v>
      </c>
      <c r="E5" s="66" t="s">
        <v>136</v>
      </c>
      <c r="F5" s="55">
        <v>12</v>
      </c>
      <c r="G5" s="53"/>
      <c r="H5" s="57"/>
      <c r="I5" s="56"/>
      <c r="J5" s="56"/>
      <c r="K5" s="36" t="s">
        <v>65</v>
      </c>
      <c r="L5" s="84">
        <v>5</v>
      </c>
      <c r="M5" s="84"/>
      <c r="N5" s="63"/>
      <c r="O5" s="87" t="s">
        <v>176</v>
      </c>
      <c r="P5" s="89">
        <v>43689.70543981482</v>
      </c>
      <c r="Q5" s="87" t="s">
        <v>217</v>
      </c>
      <c r="R5" s="91" t="s">
        <v>220</v>
      </c>
      <c r="S5" s="87" t="s">
        <v>223</v>
      </c>
      <c r="T5" s="87"/>
      <c r="U5" s="87"/>
      <c r="V5" s="91" t="s">
        <v>229</v>
      </c>
      <c r="W5" s="89">
        <v>43689.70543981482</v>
      </c>
      <c r="X5" s="91" t="s">
        <v>231</v>
      </c>
      <c r="Y5" s="87"/>
      <c r="Z5" s="87"/>
      <c r="AA5" s="93" t="s">
        <v>234</v>
      </c>
      <c r="AB5" s="87"/>
      <c r="AC5" s="87" t="b">
        <v>0</v>
      </c>
      <c r="AD5" s="87">
        <v>4</v>
      </c>
      <c r="AE5" s="93" t="s">
        <v>236</v>
      </c>
      <c r="AF5" s="87" t="b">
        <v>1</v>
      </c>
      <c r="AG5" s="87" t="s">
        <v>237</v>
      </c>
      <c r="AH5" s="87"/>
      <c r="AI5" s="93" t="s">
        <v>233</v>
      </c>
      <c r="AJ5" s="87" t="b">
        <v>0</v>
      </c>
      <c r="AK5" s="87">
        <v>3</v>
      </c>
      <c r="AL5" s="93" t="s">
        <v>236</v>
      </c>
      <c r="AM5" s="87" t="s">
        <v>239</v>
      </c>
      <c r="AN5" s="87" t="b">
        <v>0</v>
      </c>
      <c r="AO5" s="93" t="s">
        <v>234</v>
      </c>
      <c r="AP5" s="87" t="s">
        <v>176</v>
      </c>
      <c r="AQ5" s="87">
        <v>0</v>
      </c>
      <c r="AR5" s="87">
        <v>0</v>
      </c>
      <c r="AS5" s="87" t="s">
        <v>240</v>
      </c>
      <c r="AT5" s="87" t="s">
        <v>241</v>
      </c>
      <c r="AU5" s="87" t="s">
        <v>242</v>
      </c>
      <c r="AV5" s="87" t="s">
        <v>243</v>
      </c>
      <c r="AW5" s="87" t="s">
        <v>244</v>
      </c>
      <c r="AX5" s="87" t="s">
        <v>245</v>
      </c>
      <c r="AY5" s="87" t="s">
        <v>246</v>
      </c>
      <c r="AZ5" s="91" t="s">
        <v>247</v>
      </c>
      <c r="BA5">
        <v>2</v>
      </c>
      <c r="BB5" s="86" t="str">
        <f>REPLACE(INDEX(GroupVertices[Group],MATCH(Edges[[#This Row],[Vertex 1]],GroupVertices[Vertex],0)),1,1,"")</f>
        <v>1</v>
      </c>
      <c r="BC5" s="86" t="str">
        <f>REPLACE(INDEX(GroupVertices[Group],MATCH(Edges[[#This Row],[Vertex 2]],GroupVertices[Vertex],0)),1,1,"")</f>
        <v>1</v>
      </c>
      <c r="BD5" s="51">
        <v>1</v>
      </c>
      <c r="BE5" s="52">
        <v>20</v>
      </c>
      <c r="BF5" s="51">
        <v>0</v>
      </c>
      <c r="BG5" s="52">
        <v>0</v>
      </c>
      <c r="BH5" s="51">
        <v>0</v>
      </c>
      <c r="BI5" s="52">
        <v>0</v>
      </c>
      <c r="BJ5" s="51">
        <v>4</v>
      </c>
      <c r="BK5" s="52">
        <v>80</v>
      </c>
      <c r="BL5" s="51">
        <v>5</v>
      </c>
    </row>
    <row r="6" spans="1:64" ht="30">
      <c r="A6" s="85" t="s">
        <v>213</v>
      </c>
      <c r="B6" s="85" t="s">
        <v>213</v>
      </c>
      <c r="C6" s="53" t="s">
        <v>445</v>
      </c>
      <c r="D6" s="54">
        <v>10</v>
      </c>
      <c r="E6" s="66" t="s">
        <v>136</v>
      </c>
      <c r="F6" s="55">
        <v>12</v>
      </c>
      <c r="G6" s="53"/>
      <c r="H6" s="57"/>
      <c r="I6" s="56"/>
      <c r="J6" s="56"/>
      <c r="K6" s="36" t="s">
        <v>65</v>
      </c>
      <c r="L6" s="84">
        <v>6</v>
      </c>
      <c r="M6" s="84"/>
      <c r="N6" s="63"/>
      <c r="O6" s="87" t="s">
        <v>176</v>
      </c>
      <c r="P6" s="89">
        <v>43689.835810185185</v>
      </c>
      <c r="Q6" s="87" t="s">
        <v>218</v>
      </c>
      <c r="R6" s="91" t="s">
        <v>221</v>
      </c>
      <c r="S6" s="87" t="s">
        <v>224</v>
      </c>
      <c r="T6" s="87" t="s">
        <v>226</v>
      </c>
      <c r="U6" s="91" t="s">
        <v>228</v>
      </c>
      <c r="V6" s="91" t="s">
        <v>228</v>
      </c>
      <c r="W6" s="89">
        <v>43689.835810185185</v>
      </c>
      <c r="X6" s="91" t="s">
        <v>232</v>
      </c>
      <c r="Y6" s="87"/>
      <c r="Z6" s="87"/>
      <c r="AA6" s="93" t="s">
        <v>235</v>
      </c>
      <c r="AB6" s="87"/>
      <c r="AC6" s="87" t="b">
        <v>0</v>
      </c>
      <c r="AD6" s="87">
        <v>0</v>
      </c>
      <c r="AE6" s="93" t="s">
        <v>236</v>
      </c>
      <c r="AF6" s="87" t="b">
        <v>0</v>
      </c>
      <c r="AG6" s="87" t="s">
        <v>237</v>
      </c>
      <c r="AH6" s="87"/>
      <c r="AI6" s="93" t="s">
        <v>236</v>
      </c>
      <c r="AJ6" s="87" t="b">
        <v>0</v>
      </c>
      <c r="AK6" s="87">
        <v>0</v>
      </c>
      <c r="AL6" s="93" t="s">
        <v>236</v>
      </c>
      <c r="AM6" s="87" t="s">
        <v>238</v>
      </c>
      <c r="AN6" s="87" t="b">
        <v>0</v>
      </c>
      <c r="AO6" s="93" t="s">
        <v>235</v>
      </c>
      <c r="AP6" s="87" t="s">
        <v>176</v>
      </c>
      <c r="AQ6" s="87">
        <v>0</v>
      </c>
      <c r="AR6" s="87">
        <v>0</v>
      </c>
      <c r="AS6" s="87"/>
      <c r="AT6" s="87"/>
      <c r="AU6" s="87"/>
      <c r="AV6" s="87"/>
      <c r="AW6" s="87"/>
      <c r="AX6" s="87"/>
      <c r="AY6" s="87"/>
      <c r="AZ6" s="87"/>
      <c r="BA6">
        <v>2</v>
      </c>
      <c r="BB6" s="86" t="str">
        <f>REPLACE(INDEX(GroupVertices[Group],MATCH(Edges[[#This Row],[Vertex 1]],GroupVertices[Vertex],0)),1,1,"")</f>
        <v>1</v>
      </c>
      <c r="BC6" s="86" t="str">
        <f>REPLACE(INDEX(GroupVertices[Group],MATCH(Edges[[#This Row],[Vertex 2]],GroupVertices[Vertex],0)),1,1,"")</f>
        <v>1</v>
      </c>
      <c r="BD6" s="51">
        <v>0</v>
      </c>
      <c r="BE6" s="52">
        <v>0</v>
      </c>
      <c r="BF6" s="51">
        <v>0</v>
      </c>
      <c r="BG6" s="52">
        <v>0</v>
      </c>
      <c r="BH6" s="51">
        <v>0</v>
      </c>
      <c r="BI6" s="52">
        <v>0</v>
      </c>
      <c r="BJ6" s="51">
        <v>39</v>
      </c>
      <c r="BK6" s="52">
        <v>100</v>
      </c>
      <c r="BL6" s="51">
        <v>39</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ErrorMessage="1" sqref="N2:N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Color" prompt="To select an optional edge color, right-click and select Select Color on the right-click menu." sqref="C3:C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Opacity" prompt="Enter an optional edge opacity between 0 (transparent) and 100 (opaque)." errorTitle="Invalid Edge Opacity" error="The optional edge opacity must be a whole number between 0 and 10." sqref="F3:F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showErrorMessage="1" promptTitle="Vertex 1 Name" prompt="Enter the name of the edge's first vertex." sqref="A3:A6"/>
    <dataValidation allowBlank="1" showInputMessage="1" showErrorMessage="1" promptTitle="Vertex 2 Name" prompt="Enter the name of the edge's second vertex." sqref="B3:B6"/>
    <dataValidation allowBlank="1" showInputMessage="1" showErrorMessage="1" promptTitle="Edge Label" prompt="Enter an optional edge label." errorTitle="Invalid Edge Visibility" error="You have entered an unrecognized edge visibility.  Try selecting from the drop-down list instead." sqref="H3:H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
  </dataValidations>
  <hyperlinks>
    <hyperlink ref="R3" r:id="rId1" display="https://www.washingtonblade.com/2019/08/12/2019-best-of-gay-dc-finalist-voting/"/>
    <hyperlink ref="R4" r:id="rId2" display="https://www.washingtonblade.com/2019/08/12/2019-best-of-gay-dc-finalist-voting/"/>
    <hyperlink ref="R5" r:id="rId3" display="https://twitter.com/RandyDaleDowns/status/1160955325438210048"/>
    <hyperlink ref="R6" r:id="rId4" display="https://socialdriver.bamboohr.com/jobs/view.php?id=10&amp;utm_source=twitter&amp;utm_medium=o"/>
    <hyperlink ref="U3" r:id="rId5" display="https://pbs.twimg.com/media/EByKs1kWwAEQNPB.jpg"/>
    <hyperlink ref="U4" r:id="rId6" display="https://pbs.twimg.com/media/EByKs1kWwAEQNPB.jpg"/>
    <hyperlink ref="U6" r:id="rId7" display="https://pbs.twimg.com/media/EBy4MBAXsAADVvE.jpg"/>
    <hyperlink ref="V3" r:id="rId8" display="https://pbs.twimg.com/media/EByKs1kWwAEQNPB.jpg"/>
    <hyperlink ref="V4" r:id="rId9" display="https://pbs.twimg.com/media/EByKs1kWwAEQNPB.jpg"/>
    <hyperlink ref="V5" r:id="rId10" display="http://pbs.twimg.com/profile_images/1155931839233703936/FsBJc9W0_normal.jpg"/>
    <hyperlink ref="V6" r:id="rId11" display="https://pbs.twimg.com/media/EBy4MBAXsAADVvE.jpg"/>
    <hyperlink ref="X3" r:id="rId12" display="https://twitter.com/#!/randydaledowns/status/1160955325438210048"/>
    <hyperlink ref="X4" r:id="rId13" display="https://twitter.com/#!/randydaledowns/status/1160955325438210048"/>
    <hyperlink ref="X5" r:id="rId14" display="https://twitter.com/#!/socialdriver/status/1160958080831688704"/>
    <hyperlink ref="X6" r:id="rId15" display="https://twitter.com/#!/socialdriver/status/1161005324591140864"/>
    <hyperlink ref="AZ5" r:id="rId16" display="https://api.twitter.com/1.1/geo/id/01fbe706f872cb32.json"/>
  </hyperlinks>
  <printOptions/>
  <pageMargins left="0.7" right="0.7" top="0.75" bottom="0.75" header="0.3" footer="0.3"/>
  <pageSetup horizontalDpi="600" verticalDpi="600" orientation="portrait" r:id="rId20"/>
  <legacyDrawing r:id="rId18"/>
  <tableParts>
    <tablePart r:id="rId1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6" t="s">
        <v>400</v>
      </c>
      <c r="B1" s="86" t="s">
        <v>401</v>
      </c>
      <c r="C1" s="86" t="s">
        <v>394</v>
      </c>
      <c r="D1" s="86" t="s">
        <v>395</v>
      </c>
      <c r="E1" s="86" t="s">
        <v>402</v>
      </c>
      <c r="F1" s="86" t="s">
        <v>144</v>
      </c>
      <c r="G1" s="86" t="s">
        <v>403</v>
      </c>
      <c r="H1" s="86" t="s">
        <v>404</v>
      </c>
      <c r="I1" s="86" t="s">
        <v>405</v>
      </c>
      <c r="J1" s="86" t="s">
        <v>406</v>
      </c>
      <c r="K1" s="86" t="s">
        <v>407</v>
      </c>
      <c r="L1" s="86" t="s">
        <v>408</v>
      </c>
    </row>
    <row r="2" spans="1:12" ht="15">
      <c r="A2" s="86"/>
      <c r="B2" s="86"/>
      <c r="C2" s="86"/>
      <c r="D2" s="121"/>
      <c r="E2" s="121"/>
      <c r="F2" s="86"/>
      <c r="G2" s="86"/>
      <c r="H2" s="86"/>
      <c r="I2" s="86"/>
      <c r="J2" s="86"/>
      <c r="K2" s="86"/>
      <c r="L2" s="86"/>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420</v>
      </c>
      <c r="B2" s="125" t="s">
        <v>421</v>
      </c>
      <c r="C2" s="68" t="s">
        <v>422</v>
      </c>
    </row>
    <row r="3" spans="1:3" ht="15">
      <c r="A3" s="124" t="s">
        <v>333</v>
      </c>
      <c r="B3" s="124" t="s">
        <v>333</v>
      </c>
      <c r="C3" s="36">
        <v>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428</v>
      </c>
      <c r="B1" s="13" t="s">
        <v>17</v>
      </c>
    </row>
    <row r="2" spans="1:2" ht="15">
      <c r="A2" s="86" t="s">
        <v>429</v>
      </c>
      <c r="B2" s="86" t="s">
        <v>435</v>
      </c>
    </row>
    <row r="3" spans="1:2" ht="15">
      <c r="A3" s="86" t="s">
        <v>430</v>
      </c>
      <c r="B3" s="86" t="s">
        <v>436</v>
      </c>
    </row>
    <row r="4" spans="1:2" ht="15">
      <c r="A4" s="86" t="s">
        <v>431</v>
      </c>
      <c r="B4" s="86" t="s">
        <v>437</v>
      </c>
    </row>
    <row r="5" spans="1:2" ht="15">
      <c r="A5" s="86" t="s">
        <v>432</v>
      </c>
      <c r="B5" s="86" t="s">
        <v>438</v>
      </c>
    </row>
    <row r="6" spans="1:2" ht="15">
      <c r="A6" s="86" t="s">
        <v>433</v>
      </c>
      <c r="B6" s="86" t="s">
        <v>439</v>
      </c>
    </row>
    <row r="7" spans="1:2" ht="15">
      <c r="A7" s="86" t="s">
        <v>434</v>
      </c>
      <c r="B7" s="86" t="s">
        <v>436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5"/>
      <c r="J1" s="65"/>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332</v>
      </c>
      <c r="BB2" s="13" t="s">
        <v>336</v>
      </c>
      <c r="BC2" s="13" t="s">
        <v>337</v>
      </c>
      <c r="BD2" s="68" t="s">
        <v>409</v>
      </c>
      <c r="BE2" s="68" t="s">
        <v>410</v>
      </c>
      <c r="BF2" s="68" t="s">
        <v>411</v>
      </c>
      <c r="BG2" s="68" t="s">
        <v>412</v>
      </c>
      <c r="BH2" s="68" t="s">
        <v>413</v>
      </c>
      <c r="BI2" s="68" t="s">
        <v>414</v>
      </c>
      <c r="BJ2" s="68" t="s">
        <v>415</v>
      </c>
      <c r="BK2" s="68" t="s">
        <v>416</v>
      </c>
      <c r="BL2" s="68" t="s">
        <v>417</v>
      </c>
    </row>
    <row r="3" spans="1:64" ht="15" customHeight="1">
      <c r="A3" s="85" t="s">
        <v>212</v>
      </c>
      <c r="B3" s="85" t="s">
        <v>214</v>
      </c>
      <c r="C3" s="53"/>
      <c r="D3" s="54"/>
      <c r="E3" s="66"/>
      <c r="F3" s="55"/>
      <c r="G3" s="53"/>
      <c r="H3" s="57"/>
      <c r="I3" s="56"/>
      <c r="J3" s="56"/>
      <c r="K3" s="36" t="s">
        <v>65</v>
      </c>
      <c r="L3" s="62">
        <v>3</v>
      </c>
      <c r="M3" s="62"/>
      <c r="N3" s="63"/>
      <c r="O3" s="86" t="s">
        <v>215</v>
      </c>
      <c r="P3" s="88">
        <v>43689.69783564815</v>
      </c>
      <c r="Q3" s="86" t="s">
        <v>216</v>
      </c>
      <c r="R3" s="90" t="s">
        <v>219</v>
      </c>
      <c r="S3" s="86" t="s">
        <v>222</v>
      </c>
      <c r="T3" s="86" t="s">
        <v>225</v>
      </c>
      <c r="U3" s="90" t="s">
        <v>227</v>
      </c>
      <c r="V3" s="90" t="s">
        <v>227</v>
      </c>
      <c r="W3" s="88">
        <v>43689.69783564815</v>
      </c>
      <c r="X3" s="90" t="s">
        <v>230</v>
      </c>
      <c r="Y3" s="86"/>
      <c r="Z3" s="86"/>
      <c r="AA3" s="92" t="s">
        <v>233</v>
      </c>
      <c r="AB3" s="86"/>
      <c r="AC3" s="86" t="b">
        <v>0</v>
      </c>
      <c r="AD3" s="86">
        <v>5</v>
      </c>
      <c r="AE3" s="92" t="s">
        <v>236</v>
      </c>
      <c r="AF3" s="86" t="b">
        <v>0</v>
      </c>
      <c r="AG3" s="86" t="s">
        <v>237</v>
      </c>
      <c r="AH3" s="86"/>
      <c r="AI3" s="92" t="s">
        <v>236</v>
      </c>
      <c r="AJ3" s="86" t="b">
        <v>0</v>
      </c>
      <c r="AK3" s="86">
        <v>0</v>
      </c>
      <c r="AL3" s="92" t="s">
        <v>236</v>
      </c>
      <c r="AM3" s="86" t="s">
        <v>238</v>
      </c>
      <c r="AN3" s="86" t="b">
        <v>0</v>
      </c>
      <c r="AO3" s="92" t="s">
        <v>233</v>
      </c>
      <c r="AP3" s="86" t="s">
        <v>176</v>
      </c>
      <c r="AQ3" s="86">
        <v>0</v>
      </c>
      <c r="AR3" s="86">
        <v>0</v>
      </c>
      <c r="AS3" s="86"/>
      <c r="AT3" s="86"/>
      <c r="AU3" s="86"/>
      <c r="AV3" s="86"/>
      <c r="AW3" s="86"/>
      <c r="AX3" s="86"/>
      <c r="AY3" s="86"/>
      <c r="AZ3" s="86"/>
      <c r="BA3">
        <v>1</v>
      </c>
      <c r="BB3" s="86" t="str">
        <f>REPLACE(INDEX(GroupVertices[Group],MATCH(Edges25[[#This Row],[Vertex 1]],GroupVertices[Vertex],0)),1,1,"")</f>
        <v>1</v>
      </c>
      <c r="BC3" s="86" t="str">
        <f>REPLACE(INDEX(GroupVertices[Group],MATCH(Edges25[[#This Row],[Vertex 2]],GroupVertices[Vertex],0)),1,1,"")</f>
        <v>1</v>
      </c>
      <c r="BD3" s="51"/>
      <c r="BE3" s="52"/>
      <c r="BF3" s="51"/>
      <c r="BG3" s="52"/>
      <c r="BH3" s="51"/>
      <c r="BI3" s="52"/>
      <c r="BJ3" s="51"/>
      <c r="BK3" s="52"/>
      <c r="BL3" s="51"/>
    </row>
    <row r="4" spans="1:64" ht="15" customHeight="1">
      <c r="A4" s="85" t="s">
        <v>212</v>
      </c>
      <c r="B4" s="85" t="s">
        <v>213</v>
      </c>
      <c r="C4" s="53"/>
      <c r="D4" s="54"/>
      <c r="E4" s="66"/>
      <c r="F4" s="55"/>
      <c r="G4" s="53"/>
      <c r="H4" s="57"/>
      <c r="I4" s="56"/>
      <c r="J4" s="56"/>
      <c r="K4" s="36" t="s">
        <v>65</v>
      </c>
      <c r="L4" s="84">
        <v>4</v>
      </c>
      <c r="M4" s="84"/>
      <c r="N4" s="63"/>
      <c r="O4" s="87" t="s">
        <v>215</v>
      </c>
      <c r="P4" s="89">
        <v>43689.69783564815</v>
      </c>
      <c r="Q4" s="87" t="s">
        <v>216</v>
      </c>
      <c r="R4" s="91" t="s">
        <v>219</v>
      </c>
      <c r="S4" s="87" t="s">
        <v>222</v>
      </c>
      <c r="T4" s="87" t="s">
        <v>225</v>
      </c>
      <c r="U4" s="91" t="s">
        <v>227</v>
      </c>
      <c r="V4" s="91" t="s">
        <v>227</v>
      </c>
      <c r="W4" s="89">
        <v>43689.69783564815</v>
      </c>
      <c r="X4" s="91" t="s">
        <v>230</v>
      </c>
      <c r="Y4" s="87"/>
      <c r="Z4" s="87"/>
      <c r="AA4" s="93" t="s">
        <v>233</v>
      </c>
      <c r="AB4" s="87"/>
      <c r="AC4" s="87" t="b">
        <v>0</v>
      </c>
      <c r="AD4" s="87">
        <v>5</v>
      </c>
      <c r="AE4" s="93" t="s">
        <v>236</v>
      </c>
      <c r="AF4" s="87" t="b">
        <v>0</v>
      </c>
      <c r="AG4" s="87" t="s">
        <v>237</v>
      </c>
      <c r="AH4" s="87"/>
      <c r="AI4" s="93" t="s">
        <v>236</v>
      </c>
      <c r="AJ4" s="87" t="b">
        <v>0</v>
      </c>
      <c r="AK4" s="87">
        <v>0</v>
      </c>
      <c r="AL4" s="93" t="s">
        <v>236</v>
      </c>
      <c r="AM4" s="87" t="s">
        <v>238</v>
      </c>
      <c r="AN4" s="87" t="b">
        <v>0</v>
      </c>
      <c r="AO4" s="93" t="s">
        <v>233</v>
      </c>
      <c r="AP4" s="87" t="s">
        <v>176</v>
      </c>
      <c r="AQ4" s="87">
        <v>0</v>
      </c>
      <c r="AR4" s="87">
        <v>0</v>
      </c>
      <c r="AS4" s="87"/>
      <c r="AT4" s="87"/>
      <c r="AU4" s="87"/>
      <c r="AV4" s="87"/>
      <c r="AW4" s="87"/>
      <c r="AX4" s="87"/>
      <c r="AY4" s="87"/>
      <c r="AZ4" s="87"/>
      <c r="BA4">
        <v>1</v>
      </c>
      <c r="BB4" s="86" t="str">
        <f>REPLACE(INDEX(GroupVertices[Group],MATCH(Edges25[[#This Row],[Vertex 1]],GroupVertices[Vertex],0)),1,1,"")</f>
        <v>1</v>
      </c>
      <c r="BC4" s="86" t="str">
        <f>REPLACE(INDEX(GroupVertices[Group],MATCH(Edges25[[#This Row],[Vertex 2]],GroupVertices[Vertex],0)),1,1,"")</f>
        <v>1</v>
      </c>
      <c r="BD4" s="51">
        <v>3</v>
      </c>
      <c r="BE4" s="52">
        <v>13.636363636363637</v>
      </c>
      <c r="BF4" s="51">
        <v>0</v>
      </c>
      <c r="BG4" s="52">
        <v>0</v>
      </c>
      <c r="BH4" s="51">
        <v>0</v>
      </c>
      <c r="BI4" s="52">
        <v>0</v>
      </c>
      <c r="BJ4" s="51">
        <v>19</v>
      </c>
      <c r="BK4" s="52">
        <v>86.36363636363636</v>
      </c>
      <c r="BL4" s="51">
        <v>22</v>
      </c>
    </row>
    <row r="5" spans="1:64" ht="15">
      <c r="A5" s="85" t="s">
        <v>213</v>
      </c>
      <c r="B5" s="85" t="s">
        <v>213</v>
      </c>
      <c r="C5" s="53"/>
      <c r="D5" s="54"/>
      <c r="E5" s="66"/>
      <c r="F5" s="55"/>
      <c r="G5" s="53"/>
      <c r="H5" s="57"/>
      <c r="I5" s="56"/>
      <c r="J5" s="56"/>
      <c r="K5" s="36" t="s">
        <v>65</v>
      </c>
      <c r="L5" s="84">
        <v>5</v>
      </c>
      <c r="M5" s="84"/>
      <c r="N5" s="63"/>
      <c r="O5" s="87" t="s">
        <v>176</v>
      </c>
      <c r="P5" s="89">
        <v>43689.70543981482</v>
      </c>
      <c r="Q5" s="87" t="s">
        <v>217</v>
      </c>
      <c r="R5" s="91" t="s">
        <v>220</v>
      </c>
      <c r="S5" s="87" t="s">
        <v>223</v>
      </c>
      <c r="T5" s="87"/>
      <c r="U5" s="87"/>
      <c r="V5" s="91" t="s">
        <v>229</v>
      </c>
      <c r="W5" s="89">
        <v>43689.70543981482</v>
      </c>
      <c r="X5" s="91" t="s">
        <v>231</v>
      </c>
      <c r="Y5" s="87"/>
      <c r="Z5" s="87"/>
      <c r="AA5" s="93" t="s">
        <v>234</v>
      </c>
      <c r="AB5" s="87"/>
      <c r="AC5" s="87" t="b">
        <v>0</v>
      </c>
      <c r="AD5" s="87">
        <v>4</v>
      </c>
      <c r="AE5" s="93" t="s">
        <v>236</v>
      </c>
      <c r="AF5" s="87" t="b">
        <v>1</v>
      </c>
      <c r="AG5" s="87" t="s">
        <v>237</v>
      </c>
      <c r="AH5" s="87"/>
      <c r="AI5" s="93" t="s">
        <v>233</v>
      </c>
      <c r="AJ5" s="87" t="b">
        <v>0</v>
      </c>
      <c r="AK5" s="87">
        <v>3</v>
      </c>
      <c r="AL5" s="93" t="s">
        <v>236</v>
      </c>
      <c r="AM5" s="87" t="s">
        <v>239</v>
      </c>
      <c r="AN5" s="87" t="b">
        <v>0</v>
      </c>
      <c r="AO5" s="93" t="s">
        <v>234</v>
      </c>
      <c r="AP5" s="87" t="s">
        <v>176</v>
      </c>
      <c r="AQ5" s="87">
        <v>0</v>
      </c>
      <c r="AR5" s="87">
        <v>0</v>
      </c>
      <c r="AS5" s="87" t="s">
        <v>240</v>
      </c>
      <c r="AT5" s="87" t="s">
        <v>241</v>
      </c>
      <c r="AU5" s="87" t="s">
        <v>242</v>
      </c>
      <c r="AV5" s="87" t="s">
        <v>243</v>
      </c>
      <c r="AW5" s="87" t="s">
        <v>244</v>
      </c>
      <c r="AX5" s="87" t="s">
        <v>245</v>
      </c>
      <c r="AY5" s="87" t="s">
        <v>246</v>
      </c>
      <c r="AZ5" s="91" t="s">
        <v>247</v>
      </c>
      <c r="BA5">
        <v>2</v>
      </c>
      <c r="BB5" s="86" t="str">
        <f>REPLACE(INDEX(GroupVertices[Group],MATCH(Edges25[[#This Row],[Vertex 1]],GroupVertices[Vertex],0)),1,1,"")</f>
        <v>1</v>
      </c>
      <c r="BC5" s="86" t="str">
        <f>REPLACE(INDEX(GroupVertices[Group],MATCH(Edges25[[#This Row],[Vertex 2]],GroupVertices[Vertex],0)),1,1,"")</f>
        <v>1</v>
      </c>
      <c r="BD5" s="51">
        <v>1</v>
      </c>
      <c r="BE5" s="52">
        <v>20</v>
      </c>
      <c r="BF5" s="51">
        <v>0</v>
      </c>
      <c r="BG5" s="52">
        <v>0</v>
      </c>
      <c r="BH5" s="51">
        <v>0</v>
      </c>
      <c r="BI5" s="52">
        <v>0</v>
      </c>
      <c r="BJ5" s="51">
        <v>4</v>
      </c>
      <c r="BK5" s="52">
        <v>80</v>
      </c>
      <c r="BL5" s="51">
        <v>5</v>
      </c>
    </row>
    <row r="6" spans="1:64" ht="15">
      <c r="A6" s="85" t="s">
        <v>213</v>
      </c>
      <c r="B6" s="85" t="s">
        <v>213</v>
      </c>
      <c r="C6" s="53"/>
      <c r="D6" s="54"/>
      <c r="E6" s="66"/>
      <c r="F6" s="55"/>
      <c r="G6" s="53"/>
      <c r="H6" s="57"/>
      <c r="I6" s="56"/>
      <c r="J6" s="56"/>
      <c r="K6" s="36" t="s">
        <v>65</v>
      </c>
      <c r="L6" s="84">
        <v>6</v>
      </c>
      <c r="M6" s="84"/>
      <c r="N6" s="63"/>
      <c r="O6" s="87" t="s">
        <v>176</v>
      </c>
      <c r="P6" s="89">
        <v>43689.835810185185</v>
      </c>
      <c r="Q6" s="87" t="s">
        <v>218</v>
      </c>
      <c r="R6" s="91" t="s">
        <v>221</v>
      </c>
      <c r="S6" s="87" t="s">
        <v>224</v>
      </c>
      <c r="T6" s="87" t="s">
        <v>226</v>
      </c>
      <c r="U6" s="91" t="s">
        <v>228</v>
      </c>
      <c r="V6" s="91" t="s">
        <v>228</v>
      </c>
      <c r="W6" s="89">
        <v>43689.835810185185</v>
      </c>
      <c r="X6" s="91" t="s">
        <v>232</v>
      </c>
      <c r="Y6" s="87"/>
      <c r="Z6" s="87"/>
      <c r="AA6" s="93" t="s">
        <v>235</v>
      </c>
      <c r="AB6" s="87"/>
      <c r="AC6" s="87" t="b">
        <v>0</v>
      </c>
      <c r="AD6" s="87">
        <v>0</v>
      </c>
      <c r="AE6" s="93" t="s">
        <v>236</v>
      </c>
      <c r="AF6" s="87" t="b">
        <v>0</v>
      </c>
      <c r="AG6" s="87" t="s">
        <v>237</v>
      </c>
      <c r="AH6" s="87"/>
      <c r="AI6" s="93" t="s">
        <v>236</v>
      </c>
      <c r="AJ6" s="87" t="b">
        <v>0</v>
      </c>
      <c r="AK6" s="87">
        <v>0</v>
      </c>
      <c r="AL6" s="93" t="s">
        <v>236</v>
      </c>
      <c r="AM6" s="87" t="s">
        <v>238</v>
      </c>
      <c r="AN6" s="87" t="b">
        <v>0</v>
      </c>
      <c r="AO6" s="93" t="s">
        <v>235</v>
      </c>
      <c r="AP6" s="87" t="s">
        <v>176</v>
      </c>
      <c r="AQ6" s="87">
        <v>0</v>
      </c>
      <c r="AR6" s="87">
        <v>0</v>
      </c>
      <c r="AS6" s="87"/>
      <c r="AT6" s="87"/>
      <c r="AU6" s="87"/>
      <c r="AV6" s="87"/>
      <c r="AW6" s="87"/>
      <c r="AX6" s="87"/>
      <c r="AY6" s="87"/>
      <c r="AZ6" s="87"/>
      <c r="BA6">
        <v>2</v>
      </c>
      <c r="BB6" s="86" t="str">
        <f>REPLACE(INDEX(GroupVertices[Group],MATCH(Edges25[[#This Row],[Vertex 1]],GroupVertices[Vertex],0)),1,1,"")</f>
        <v>1</v>
      </c>
      <c r="BC6" s="86" t="str">
        <f>REPLACE(INDEX(GroupVertices[Group],MATCH(Edges25[[#This Row],[Vertex 2]],GroupVertices[Vertex],0)),1,1,"")</f>
        <v>1</v>
      </c>
      <c r="BD6" s="51">
        <v>0</v>
      </c>
      <c r="BE6" s="52">
        <v>0</v>
      </c>
      <c r="BF6" s="51">
        <v>0</v>
      </c>
      <c r="BG6" s="52">
        <v>0</v>
      </c>
      <c r="BH6" s="51">
        <v>0</v>
      </c>
      <c r="BI6" s="52">
        <v>0</v>
      </c>
      <c r="BJ6" s="51">
        <v>39</v>
      </c>
      <c r="BK6" s="52">
        <v>100</v>
      </c>
      <c r="BL6" s="51">
        <v>39</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
    <dataValidation allowBlank="1" showInputMessage="1" showErrorMessage="1" promptTitle="Vertex 2 Name" prompt="Enter the name of the edge's second vertex." sqref="B3:B6"/>
    <dataValidation allowBlank="1" showInputMessage="1" showErrorMessage="1" promptTitle="Vertex 1 Name" prompt="Enter the name of the edge's first vertex." sqref="A3:A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Color" prompt="To select an optional edge color, right-click and select Select Color on the right-click menu." sqref="C3:C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ErrorMessage="1" sqref="N2:N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s>
  <hyperlinks>
    <hyperlink ref="R3" r:id="rId1" display="https://www.washingtonblade.com/2019/08/12/2019-best-of-gay-dc-finalist-voting/"/>
    <hyperlink ref="R4" r:id="rId2" display="https://www.washingtonblade.com/2019/08/12/2019-best-of-gay-dc-finalist-voting/"/>
    <hyperlink ref="R5" r:id="rId3" display="https://twitter.com/RandyDaleDowns/status/1160955325438210048"/>
    <hyperlink ref="R6" r:id="rId4" display="https://socialdriver.bamboohr.com/jobs/view.php?id=10&amp;utm_source=twitter&amp;utm_medium=o"/>
    <hyperlink ref="U3" r:id="rId5" display="https://pbs.twimg.com/media/EByKs1kWwAEQNPB.jpg"/>
    <hyperlink ref="U4" r:id="rId6" display="https://pbs.twimg.com/media/EByKs1kWwAEQNPB.jpg"/>
    <hyperlink ref="U6" r:id="rId7" display="https://pbs.twimg.com/media/EBy4MBAXsAADVvE.jpg"/>
    <hyperlink ref="V3" r:id="rId8" display="https://pbs.twimg.com/media/EByKs1kWwAEQNPB.jpg"/>
    <hyperlink ref="V4" r:id="rId9" display="https://pbs.twimg.com/media/EByKs1kWwAEQNPB.jpg"/>
    <hyperlink ref="V5" r:id="rId10" display="http://pbs.twimg.com/profile_images/1155931839233703936/FsBJc9W0_normal.jpg"/>
    <hyperlink ref="V6" r:id="rId11" display="https://pbs.twimg.com/media/EBy4MBAXsAADVvE.jpg"/>
    <hyperlink ref="X3" r:id="rId12" display="https://twitter.com/#!/randydaledowns/status/1160955325438210048"/>
    <hyperlink ref="X4" r:id="rId13" display="https://twitter.com/#!/randydaledowns/status/1160955325438210048"/>
    <hyperlink ref="X5" r:id="rId14" display="https://twitter.com/#!/socialdriver/status/1160958080831688704"/>
    <hyperlink ref="X6" r:id="rId15" display="https://twitter.com/#!/socialdriver/status/1161005324591140864"/>
    <hyperlink ref="AZ5" r:id="rId16" display="https://api.twitter.com/1.1/geo/id/01fbe706f872cb32.json"/>
  </hyperlinks>
  <printOptions/>
  <pageMargins left="0.7" right="0.7" top="0.75" bottom="0.75" header="0.3" footer="0.3"/>
  <pageSetup horizontalDpi="600" verticalDpi="600" orientation="portrait" r:id="rId20"/>
  <legacyDrawing r:id="rId18"/>
  <tableParts>
    <tablePart r:id="rId19"/>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440</v>
      </c>
      <c r="B1" s="13" t="s">
        <v>34</v>
      </c>
    </row>
    <row r="2" spans="1:2" ht="15">
      <c r="A2" s="117" t="s">
        <v>212</v>
      </c>
      <c r="B2" s="86">
        <v>2</v>
      </c>
    </row>
    <row r="3" spans="1:2" ht="15">
      <c r="A3" s="117" t="s">
        <v>213</v>
      </c>
      <c r="B3" s="86">
        <v>0</v>
      </c>
    </row>
    <row r="4" spans="1:2" ht="15">
      <c r="A4" s="117" t="s">
        <v>214</v>
      </c>
      <c r="B4" s="8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7" t="s">
        <v>442</v>
      </c>
      <c r="B25" t="s">
        <v>441</v>
      </c>
    </row>
    <row r="26" spans="1:2" ht="15">
      <c r="A26" s="128">
        <v>43689.69783564815</v>
      </c>
      <c r="B26" s="3">
        <v>2</v>
      </c>
    </row>
    <row r="27" spans="1:2" ht="15">
      <c r="A27" s="128">
        <v>43689.70543981482</v>
      </c>
      <c r="B27" s="3">
        <v>1</v>
      </c>
    </row>
    <row r="28" spans="1:2" ht="15">
      <c r="A28" s="128">
        <v>43689.835810185185</v>
      </c>
      <c r="B28" s="3">
        <v>1</v>
      </c>
    </row>
    <row r="29" spans="1:2" ht="15">
      <c r="A29" s="128" t="s">
        <v>443</v>
      </c>
      <c r="B29" s="3">
        <v>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248</v>
      </c>
      <c r="AE2" s="13" t="s">
        <v>249</v>
      </c>
      <c r="AF2" s="13" t="s">
        <v>250</v>
      </c>
      <c r="AG2" s="13" t="s">
        <v>251</v>
      </c>
      <c r="AH2" s="13" t="s">
        <v>252</v>
      </c>
      <c r="AI2" s="13" t="s">
        <v>253</v>
      </c>
      <c r="AJ2" s="13" t="s">
        <v>254</v>
      </c>
      <c r="AK2" s="13" t="s">
        <v>255</v>
      </c>
      <c r="AL2" s="13" t="s">
        <v>256</v>
      </c>
      <c r="AM2" s="13" t="s">
        <v>257</v>
      </c>
      <c r="AN2" s="13" t="s">
        <v>258</v>
      </c>
      <c r="AO2" s="13" t="s">
        <v>259</v>
      </c>
      <c r="AP2" s="13" t="s">
        <v>260</v>
      </c>
      <c r="AQ2" s="13" t="s">
        <v>261</v>
      </c>
      <c r="AR2" s="13" t="s">
        <v>262</v>
      </c>
      <c r="AS2" s="13" t="s">
        <v>192</v>
      </c>
      <c r="AT2" s="13" t="s">
        <v>263</v>
      </c>
      <c r="AU2" s="13" t="s">
        <v>264</v>
      </c>
      <c r="AV2" s="13" t="s">
        <v>265</v>
      </c>
      <c r="AW2" s="13" t="s">
        <v>266</v>
      </c>
      <c r="AX2" s="13" t="s">
        <v>267</v>
      </c>
      <c r="AY2" s="13" t="s">
        <v>268</v>
      </c>
      <c r="AZ2" s="13" t="s">
        <v>335</v>
      </c>
      <c r="BA2" s="119" t="s">
        <v>377</v>
      </c>
      <c r="BB2" s="119" t="s">
        <v>379</v>
      </c>
      <c r="BC2" s="119" t="s">
        <v>380</v>
      </c>
      <c r="BD2" s="119" t="s">
        <v>382</v>
      </c>
      <c r="BE2" s="119" t="s">
        <v>383</v>
      </c>
      <c r="BF2" s="119" t="s">
        <v>384</v>
      </c>
      <c r="BG2" s="119" t="s">
        <v>385</v>
      </c>
      <c r="BH2" s="119" t="s">
        <v>388</v>
      </c>
      <c r="BI2" s="119" t="s">
        <v>389</v>
      </c>
      <c r="BJ2" s="119" t="s">
        <v>392</v>
      </c>
      <c r="BK2" s="119" t="s">
        <v>409</v>
      </c>
      <c r="BL2" s="119" t="s">
        <v>410</v>
      </c>
      <c r="BM2" s="119" t="s">
        <v>411</v>
      </c>
      <c r="BN2" s="119" t="s">
        <v>412</v>
      </c>
      <c r="BO2" s="119" t="s">
        <v>413</v>
      </c>
      <c r="BP2" s="119" t="s">
        <v>414</v>
      </c>
      <c r="BQ2" s="119" t="s">
        <v>415</v>
      </c>
      <c r="BR2" s="119" t="s">
        <v>416</v>
      </c>
      <c r="BS2" s="119" t="s">
        <v>418</v>
      </c>
      <c r="BT2" s="3"/>
      <c r="BU2" s="3"/>
    </row>
    <row r="3" spans="1:73" ht="15" customHeight="1">
      <c r="A3" s="50" t="s">
        <v>212</v>
      </c>
      <c r="B3" s="53"/>
      <c r="C3" s="53" t="s">
        <v>64</v>
      </c>
      <c r="D3" s="54">
        <v>162</v>
      </c>
      <c r="E3" s="55"/>
      <c r="F3" s="113" t="s">
        <v>285</v>
      </c>
      <c r="G3" s="53"/>
      <c r="H3" s="57" t="s">
        <v>212</v>
      </c>
      <c r="I3" s="56"/>
      <c r="J3" s="56"/>
      <c r="K3" s="115" t="s">
        <v>291</v>
      </c>
      <c r="L3" s="59">
        <v>9999</v>
      </c>
      <c r="M3" s="60">
        <v>2597.2060546875</v>
      </c>
      <c r="N3" s="60">
        <v>2676.202880859375</v>
      </c>
      <c r="O3" s="58"/>
      <c r="P3" s="61"/>
      <c r="Q3" s="61"/>
      <c r="R3" s="51"/>
      <c r="S3" s="51">
        <v>0</v>
      </c>
      <c r="T3" s="51">
        <v>2</v>
      </c>
      <c r="U3" s="52">
        <v>2</v>
      </c>
      <c r="V3" s="52">
        <v>0.5</v>
      </c>
      <c r="W3" s="52">
        <v>0.356895</v>
      </c>
      <c r="X3" s="52">
        <v>1.196183</v>
      </c>
      <c r="Y3" s="52">
        <v>0</v>
      </c>
      <c r="Z3" s="52">
        <v>0</v>
      </c>
      <c r="AA3" s="62">
        <v>3</v>
      </c>
      <c r="AB3" s="62"/>
      <c r="AC3" s="63"/>
      <c r="AD3" s="86" t="s">
        <v>269</v>
      </c>
      <c r="AE3" s="86">
        <v>1379</v>
      </c>
      <c r="AF3" s="86">
        <v>882</v>
      </c>
      <c r="AG3" s="86">
        <v>4959</v>
      </c>
      <c r="AH3" s="86">
        <v>12400</v>
      </c>
      <c r="AI3" s="86"/>
      <c r="AJ3" s="86" t="s">
        <v>272</v>
      </c>
      <c r="AK3" s="86" t="s">
        <v>243</v>
      </c>
      <c r="AL3" s="90" t="s">
        <v>276</v>
      </c>
      <c r="AM3" s="86"/>
      <c r="AN3" s="88">
        <v>40916.13034722222</v>
      </c>
      <c r="AO3" s="90" t="s">
        <v>279</v>
      </c>
      <c r="AP3" s="86" t="b">
        <v>0</v>
      </c>
      <c r="AQ3" s="86" t="b">
        <v>0</v>
      </c>
      <c r="AR3" s="86" t="b">
        <v>1</v>
      </c>
      <c r="AS3" s="86"/>
      <c r="AT3" s="86">
        <v>23</v>
      </c>
      <c r="AU3" s="90" t="s">
        <v>282</v>
      </c>
      <c r="AV3" s="86" t="b">
        <v>0</v>
      </c>
      <c r="AW3" s="86" t="s">
        <v>287</v>
      </c>
      <c r="AX3" s="90" t="s">
        <v>288</v>
      </c>
      <c r="AY3" s="86" t="s">
        <v>66</v>
      </c>
      <c r="AZ3" s="86" t="str">
        <f>REPLACE(INDEX(GroupVertices[Group],MATCH(Vertices[[#This Row],[Vertex]],GroupVertices[Vertex],0)),1,1,"")</f>
        <v>1</v>
      </c>
      <c r="BA3" s="51" t="s">
        <v>219</v>
      </c>
      <c r="BB3" s="51" t="s">
        <v>219</v>
      </c>
      <c r="BC3" s="51" t="s">
        <v>222</v>
      </c>
      <c r="BD3" s="51" t="s">
        <v>222</v>
      </c>
      <c r="BE3" s="51" t="s">
        <v>225</v>
      </c>
      <c r="BF3" s="51" t="s">
        <v>225</v>
      </c>
      <c r="BG3" s="120" t="s">
        <v>386</v>
      </c>
      <c r="BH3" s="120" t="s">
        <v>386</v>
      </c>
      <c r="BI3" s="120" t="s">
        <v>390</v>
      </c>
      <c r="BJ3" s="120" t="s">
        <v>390</v>
      </c>
      <c r="BK3" s="120">
        <v>3</v>
      </c>
      <c r="BL3" s="123">
        <v>13.636363636363637</v>
      </c>
      <c r="BM3" s="120">
        <v>0</v>
      </c>
      <c r="BN3" s="123">
        <v>0</v>
      </c>
      <c r="BO3" s="120">
        <v>0</v>
      </c>
      <c r="BP3" s="123">
        <v>0</v>
      </c>
      <c r="BQ3" s="120">
        <v>19</v>
      </c>
      <c r="BR3" s="123">
        <v>86.36363636363636</v>
      </c>
      <c r="BS3" s="120">
        <v>22</v>
      </c>
      <c r="BT3" s="3"/>
      <c r="BU3" s="3"/>
    </row>
    <row r="4" spans="1:76" ht="15">
      <c r="A4" s="14" t="s">
        <v>214</v>
      </c>
      <c r="B4" s="15"/>
      <c r="C4" s="15" t="s">
        <v>64</v>
      </c>
      <c r="D4" s="94">
        <v>1000</v>
      </c>
      <c r="E4" s="82"/>
      <c r="F4" s="113" t="s">
        <v>286</v>
      </c>
      <c r="G4" s="15"/>
      <c r="H4" s="16" t="s">
        <v>214</v>
      </c>
      <c r="I4" s="67"/>
      <c r="J4" s="67"/>
      <c r="K4" s="115" t="s">
        <v>292</v>
      </c>
      <c r="L4" s="95">
        <v>1</v>
      </c>
      <c r="M4" s="96">
        <v>2597.2060546875</v>
      </c>
      <c r="N4" s="96">
        <v>7322.796875</v>
      </c>
      <c r="O4" s="78"/>
      <c r="P4" s="97"/>
      <c r="Q4" s="97"/>
      <c r="R4" s="98"/>
      <c r="S4" s="51">
        <v>1</v>
      </c>
      <c r="T4" s="51">
        <v>0</v>
      </c>
      <c r="U4" s="52">
        <v>0</v>
      </c>
      <c r="V4" s="52">
        <v>0.333333</v>
      </c>
      <c r="W4" s="52">
        <v>0.198063</v>
      </c>
      <c r="X4" s="52">
        <v>0.658363</v>
      </c>
      <c r="Y4" s="52">
        <v>0</v>
      </c>
      <c r="Z4" s="52">
        <v>0</v>
      </c>
      <c r="AA4" s="83">
        <v>4</v>
      </c>
      <c r="AB4" s="83"/>
      <c r="AC4" s="99"/>
      <c r="AD4" s="86" t="s">
        <v>270</v>
      </c>
      <c r="AE4" s="86">
        <v>4027</v>
      </c>
      <c r="AF4" s="86">
        <v>30513</v>
      </c>
      <c r="AG4" s="86">
        <v>48846</v>
      </c>
      <c r="AH4" s="86">
        <v>1381</v>
      </c>
      <c r="AI4" s="86"/>
      <c r="AJ4" s="86" t="s">
        <v>273</v>
      </c>
      <c r="AK4" s="86" t="s">
        <v>275</v>
      </c>
      <c r="AL4" s="90" t="s">
        <v>277</v>
      </c>
      <c r="AM4" s="86"/>
      <c r="AN4" s="88">
        <v>39846.74327546296</v>
      </c>
      <c r="AO4" s="90" t="s">
        <v>280</v>
      </c>
      <c r="AP4" s="86" t="b">
        <v>0</v>
      </c>
      <c r="AQ4" s="86" t="b">
        <v>0</v>
      </c>
      <c r="AR4" s="86" t="b">
        <v>0</v>
      </c>
      <c r="AS4" s="86"/>
      <c r="AT4" s="86">
        <v>1198</v>
      </c>
      <c r="AU4" s="90" t="s">
        <v>283</v>
      </c>
      <c r="AV4" s="86" t="b">
        <v>1</v>
      </c>
      <c r="AW4" s="86" t="s">
        <v>287</v>
      </c>
      <c r="AX4" s="90" t="s">
        <v>289</v>
      </c>
      <c r="AY4" s="86" t="s">
        <v>65</v>
      </c>
      <c r="AZ4" s="86" t="str">
        <f>REPLACE(INDEX(GroupVertices[Group],MATCH(Vertices[[#This Row],[Vertex]],GroupVertices[Vertex],0)),1,1,"")</f>
        <v>1</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00" t="s">
        <v>213</v>
      </c>
      <c r="B5" s="101"/>
      <c r="C5" s="101" t="s">
        <v>64</v>
      </c>
      <c r="D5" s="102">
        <v>1000</v>
      </c>
      <c r="E5" s="103"/>
      <c r="F5" s="114" t="s">
        <v>229</v>
      </c>
      <c r="G5" s="101"/>
      <c r="H5" s="104" t="s">
        <v>213</v>
      </c>
      <c r="I5" s="105"/>
      <c r="J5" s="105"/>
      <c r="K5" s="116" t="s">
        <v>293</v>
      </c>
      <c r="L5" s="106">
        <v>1</v>
      </c>
      <c r="M5" s="107">
        <v>7401.7939453125</v>
      </c>
      <c r="N5" s="107">
        <v>7322.796875</v>
      </c>
      <c r="O5" s="108"/>
      <c r="P5" s="109"/>
      <c r="Q5" s="109"/>
      <c r="R5" s="110"/>
      <c r="S5" s="51">
        <v>2</v>
      </c>
      <c r="T5" s="51">
        <v>1</v>
      </c>
      <c r="U5" s="52">
        <v>0</v>
      </c>
      <c r="V5" s="52">
        <v>0.333333</v>
      </c>
      <c r="W5" s="52">
        <v>0.445042</v>
      </c>
      <c r="X5" s="52">
        <v>1.144952</v>
      </c>
      <c r="Y5" s="52">
        <v>0</v>
      </c>
      <c r="Z5" s="52">
        <v>0</v>
      </c>
      <c r="AA5" s="111">
        <v>5</v>
      </c>
      <c r="AB5" s="111"/>
      <c r="AC5" s="112"/>
      <c r="AD5" s="86" t="s">
        <v>271</v>
      </c>
      <c r="AE5" s="86">
        <v>3117</v>
      </c>
      <c r="AF5" s="86">
        <v>3901</v>
      </c>
      <c r="AG5" s="86">
        <v>5531</v>
      </c>
      <c r="AH5" s="86">
        <v>3721</v>
      </c>
      <c r="AI5" s="86"/>
      <c r="AJ5" s="86" t="s">
        <v>274</v>
      </c>
      <c r="AK5" s="86" t="s">
        <v>243</v>
      </c>
      <c r="AL5" s="90" t="s">
        <v>278</v>
      </c>
      <c r="AM5" s="86"/>
      <c r="AN5" s="88">
        <v>40696.81831018518</v>
      </c>
      <c r="AO5" s="90" t="s">
        <v>281</v>
      </c>
      <c r="AP5" s="86" t="b">
        <v>0</v>
      </c>
      <c r="AQ5" s="86" t="b">
        <v>0</v>
      </c>
      <c r="AR5" s="86" t="b">
        <v>1</v>
      </c>
      <c r="AS5" s="86"/>
      <c r="AT5" s="86">
        <v>394</v>
      </c>
      <c r="AU5" s="90" t="s">
        <v>284</v>
      </c>
      <c r="AV5" s="86" t="b">
        <v>0</v>
      </c>
      <c r="AW5" s="86" t="s">
        <v>287</v>
      </c>
      <c r="AX5" s="90" t="s">
        <v>290</v>
      </c>
      <c r="AY5" s="86" t="s">
        <v>66</v>
      </c>
      <c r="AZ5" s="86" t="str">
        <f>REPLACE(INDEX(GroupVertices[Group],MATCH(Vertices[[#This Row],[Vertex]],GroupVertices[Vertex],0)),1,1,"")</f>
        <v>1</v>
      </c>
      <c r="BA5" s="51" t="s">
        <v>378</v>
      </c>
      <c r="BB5" s="51" t="s">
        <v>378</v>
      </c>
      <c r="BC5" s="51" t="s">
        <v>381</v>
      </c>
      <c r="BD5" s="51" t="s">
        <v>381</v>
      </c>
      <c r="BE5" s="51" t="s">
        <v>226</v>
      </c>
      <c r="BF5" s="51" t="s">
        <v>226</v>
      </c>
      <c r="BG5" s="120" t="s">
        <v>387</v>
      </c>
      <c r="BH5" s="120" t="s">
        <v>387</v>
      </c>
      <c r="BI5" s="120" t="s">
        <v>391</v>
      </c>
      <c r="BJ5" s="120" t="s">
        <v>391</v>
      </c>
      <c r="BK5" s="120">
        <v>1</v>
      </c>
      <c r="BL5" s="123">
        <v>2.272727272727273</v>
      </c>
      <c r="BM5" s="120">
        <v>0</v>
      </c>
      <c r="BN5" s="123">
        <v>0</v>
      </c>
      <c r="BO5" s="120">
        <v>0</v>
      </c>
      <c r="BP5" s="123">
        <v>0</v>
      </c>
      <c r="BQ5" s="120">
        <v>43</v>
      </c>
      <c r="BR5" s="123">
        <v>97.72727272727273</v>
      </c>
      <c r="BS5" s="120">
        <v>44</v>
      </c>
      <c r="BT5" s="2"/>
      <c r="BU5" s="3"/>
      <c r="BV5" s="3"/>
      <c r="BW5" s="3"/>
      <c r="BX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hyperlinks>
    <hyperlink ref="AL3" r:id="rId1" display="http://randydowns.org/"/>
    <hyperlink ref="AL4" r:id="rId2" display="https://t.co/EYyumxOmGA"/>
    <hyperlink ref="AL5" r:id="rId3" display="https://t.co/rO671IVecy"/>
    <hyperlink ref="AO3" r:id="rId4" display="https://pbs.twimg.com/profile_banners/458026132/1498236147"/>
    <hyperlink ref="AO4" r:id="rId5" display="https://pbs.twimg.com/profile_banners/19918986/1537457984"/>
    <hyperlink ref="AO5" r:id="rId6" display="https://pbs.twimg.com/profile_banners/309849736/1531919350"/>
    <hyperlink ref="AU3" r:id="rId7" display="http://abs.twimg.com/images/themes/theme1/bg.png"/>
    <hyperlink ref="AU4" r:id="rId8" display="http://abs.twimg.com/images/themes/theme10/bg.gif"/>
    <hyperlink ref="AU5" r:id="rId9" display="http://abs.twimg.com/images/themes/theme14/bg.gif"/>
    <hyperlink ref="F3" r:id="rId10" display="http://pbs.twimg.com/profile_images/1070725409317273600/VqVA4nUQ_normal.jpg"/>
    <hyperlink ref="F4" r:id="rId11" display="http://pbs.twimg.com/profile_images/839915256906330112/aMokf8Qm_normal.jpg"/>
    <hyperlink ref="F5" r:id="rId12" display="http://pbs.twimg.com/profile_images/1155931839233703936/FsBJc9W0_normal.jpg"/>
    <hyperlink ref="AX3" r:id="rId13" display="https://twitter.com/randydaledowns"/>
    <hyperlink ref="AX4" r:id="rId14" display="https://twitter.com/washblade"/>
    <hyperlink ref="AX5" r:id="rId15" display="https://twitter.com/socialdriver"/>
  </hyperlinks>
  <printOptions/>
  <pageMargins left="0.7" right="0.7" top="0.75" bottom="0.75" header="0.3" footer="0.3"/>
  <pageSetup horizontalDpi="600" verticalDpi="600" orientation="portrait" r:id="rId19"/>
  <legacyDrawing r:id="rId17"/>
  <tableParts>
    <tablePart r:id="rId1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342</v>
      </c>
      <c r="Z2" s="13" t="s">
        <v>346</v>
      </c>
      <c r="AA2" s="13" t="s">
        <v>350</v>
      </c>
      <c r="AB2" s="13" t="s">
        <v>361</v>
      </c>
      <c r="AC2" s="13" t="s">
        <v>365</v>
      </c>
      <c r="AD2" s="13" t="s">
        <v>370</v>
      </c>
      <c r="AE2" s="13" t="s">
        <v>371</v>
      </c>
      <c r="AF2" s="13" t="s">
        <v>375</v>
      </c>
      <c r="AG2" s="68" t="s">
        <v>409</v>
      </c>
      <c r="AH2" s="68" t="s">
        <v>410</v>
      </c>
      <c r="AI2" s="68" t="s">
        <v>411</v>
      </c>
      <c r="AJ2" s="68" t="s">
        <v>412</v>
      </c>
      <c r="AK2" s="68" t="s">
        <v>413</v>
      </c>
      <c r="AL2" s="68" t="s">
        <v>414</v>
      </c>
      <c r="AM2" s="68" t="s">
        <v>415</v>
      </c>
      <c r="AN2" s="68" t="s">
        <v>416</v>
      </c>
      <c r="AO2" s="68" t="s">
        <v>419</v>
      </c>
    </row>
    <row r="3" spans="1:41" ht="15">
      <c r="A3" s="85" t="s">
        <v>333</v>
      </c>
      <c r="B3" s="118" t="s">
        <v>334</v>
      </c>
      <c r="C3" s="118" t="s">
        <v>56</v>
      </c>
      <c r="D3" s="15"/>
      <c r="E3" s="15"/>
      <c r="F3" s="16" t="s">
        <v>446</v>
      </c>
      <c r="G3" s="78"/>
      <c r="H3" s="78"/>
      <c r="I3" s="64">
        <v>3</v>
      </c>
      <c r="J3" s="64"/>
      <c r="K3" s="51">
        <v>3</v>
      </c>
      <c r="L3" s="51">
        <v>2</v>
      </c>
      <c r="M3" s="51">
        <v>2</v>
      </c>
      <c r="N3" s="51">
        <v>4</v>
      </c>
      <c r="O3" s="51">
        <v>2</v>
      </c>
      <c r="P3" s="52">
        <v>0</v>
      </c>
      <c r="Q3" s="52">
        <v>0</v>
      </c>
      <c r="R3" s="51">
        <v>1</v>
      </c>
      <c r="S3" s="51">
        <v>0</v>
      </c>
      <c r="T3" s="51">
        <v>3</v>
      </c>
      <c r="U3" s="51">
        <v>4</v>
      </c>
      <c r="V3" s="51">
        <v>2</v>
      </c>
      <c r="W3" s="52">
        <v>0.888889</v>
      </c>
      <c r="X3" s="52">
        <v>0.3333333333333333</v>
      </c>
      <c r="Y3" s="86" t="s">
        <v>343</v>
      </c>
      <c r="Z3" s="86" t="s">
        <v>347</v>
      </c>
      <c r="AA3" s="86" t="s">
        <v>351</v>
      </c>
      <c r="AB3" s="92" t="s">
        <v>362</v>
      </c>
      <c r="AC3" s="92" t="s">
        <v>236</v>
      </c>
      <c r="AD3" s="92"/>
      <c r="AE3" s="92" t="s">
        <v>372</v>
      </c>
      <c r="AF3" s="92" t="s">
        <v>376</v>
      </c>
      <c r="AG3" s="120">
        <v>4</v>
      </c>
      <c r="AH3" s="123">
        <v>6.0606060606060606</v>
      </c>
      <c r="AI3" s="120">
        <v>0</v>
      </c>
      <c r="AJ3" s="123">
        <v>0</v>
      </c>
      <c r="AK3" s="120">
        <v>0</v>
      </c>
      <c r="AL3" s="123">
        <v>0</v>
      </c>
      <c r="AM3" s="120">
        <v>62</v>
      </c>
      <c r="AN3" s="123">
        <v>93.93939393939394</v>
      </c>
      <c r="AO3" s="120">
        <v>66</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333</v>
      </c>
      <c r="B2" s="92" t="s">
        <v>213</v>
      </c>
      <c r="C2" s="86">
        <f>VLOOKUP(GroupVertices[[#This Row],[Vertex]],Vertices[],MATCH("ID",Vertices[[#Headers],[Vertex]:[Vertex Content Word Count]],0),FALSE)</f>
        <v>5</v>
      </c>
    </row>
    <row r="3" spans="1:3" ht="15">
      <c r="A3" s="86" t="s">
        <v>333</v>
      </c>
      <c r="B3" s="92" t="s">
        <v>212</v>
      </c>
      <c r="C3" s="86">
        <f>VLOOKUP(GroupVertices[[#This Row],[Vertex]],Vertices[],MATCH("ID",Vertices[[#Headers],[Vertex]:[Vertex Content Word Count]],0),FALSE)</f>
        <v>3</v>
      </c>
    </row>
    <row r="4" spans="1:3" ht="15">
      <c r="A4" s="86" t="s">
        <v>333</v>
      </c>
      <c r="B4" s="92" t="s">
        <v>214</v>
      </c>
      <c r="C4" s="86">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423</v>
      </c>
      <c r="B2" s="36" t="s">
        <v>294</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2</v>
      </c>
      <c r="L2" s="39">
        <f>MIN(Vertices[Closeness Centrality])</f>
        <v>0.333333</v>
      </c>
      <c r="M2" s="40">
        <f>COUNTIF(Vertices[Closeness Centrality],"&gt;= "&amp;L2)-COUNTIF(Vertices[Closeness Centrality],"&gt;="&amp;L3)</f>
        <v>2</v>
      </c>
      <c r="N2" s="39">
        <f>MIN(Vertices[Eigenvector Centrality])</f>
        <v>0.198063</v>
      </c>
      <c r="O2" s="40">
        <f>COUNTIF(Vertices[Eigenvector Centrality],"&gt;= "&amp;N2)-COUNTIF(Vertices[Eigenvector Centrality],"&gt;="&amp;N3)</f>
        <v>1</v>
      </c>
      <c r="P2" s="39">
        <f>MIN(Vertices[PageRank])</f>
        <v>0.658363</v>
      </c>
      <c r="Q2" s="40">
        <f>COUNTIF(Vertices[PageRank],"&gt;= "&amp;P2)-COUNTIF(Vertices[PageRank],"&gt;="&amp;P3)</f>
        <v>1</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6"/>
      <c r="B3" s="126"/>
      <c r="D3" s="34">
        <f aca="true" t="shared" si="1" ref="D3:D26">D2+($D$57-$D$2)/BinDivisor</f>
        <v>0</v>
      </c>
      <c r="E3" s="3">
        <f>COUNTIF(Vertices[Degree],"&gt;= "&amp;D3)-COUNTIF(Vertices[Degree],"&gt;="&amp;D4)</f>
        <v>0</v>
      </c>
      <c r="F3" s="41">
        <f aca="true" t="shared" si="2" ref="F3:F26">F2+($F$57-$F$2)/BinDivisor</f>
        <v>0.03636363636363636</v>
      </c>
      <c r="G3" s="42">
        <f>COUNTIF(Vertices[In-Degree],"&gt;= "&amp;F3)-COUNTIF(Vertices[In-Degree],"&gt;="&amp;F4)</f>
        <v>0</v>
      </c>
      <c r="H3" s="41">
        <f aca="true" t="shared" si="3" ref="H3:H26">H2+($H$57-$H$2)/BinDivisor</f>
        <v>0.03636363636363636</v>
      </c>
      <c r="I3" s="42">
        <f>COUNTIF(Vertices[Out-Degree],"&gt;= "&amp;H3)-COUNTIF(Vertices[Out-Degree],"&gt;="&amp;H4)</f>
        <v>0</v>
      </c>
      <c r="J3" s="41">
        <f aca="true" t="shared" si="4" ref="J3:J26">J2+($J$57-$J$2)/BinDivisor</f>
        <v>0.03636363636363636</v>
      </c>
      <c r="K3" s="42">
        <f>COUNTIF(Vertices[Betweenness Centrality],"&gt;= "&amp;J3)-COUNTIF(Vertices[Betweenness Centrality],"&gt;="&amp;J4)</f>
        <v>0</v>
      </c>
      <c r="L3" s="41">
        <f aca="true" t="shared" si="5" ref="L3:L26">L2+($L$57-$L$2)/BinDivisor</f>
        <v>0.33636330909090906</v>
      </c>
      <c r="M3" s="42">
        <f>COUNTIF(Vertices[Closeness Centrality],"&gt;= "&amp;L3)-COUNTIF(Vertices[Closeness Centrality],"&gt;="&amp;L4)</f>
        <v>0</v>
      </c>
      <c r="N3" s="41">
        <f aca="true" t="shared" si="6" ref="N3:N26">N2+($N$57-$N$2)/BinDivisor</f>
        <v>0.20255352727272727</v>
      </c>
      <c r="O3" s="42">
        <f>COUNTIF(Vertices[Eigenvector Centrality],"&gt;= "&amp;N3)-COUNTIF(Vertices[Eigenvector Centrality],"&gt;="&amp;N4)</f>
        <v>0</v>
      </c>
      <c r="P3" s="41">
        <f aca="true" t="shared" si="7" ref="P3:P26">P2+($P$57-$P$2)/BinDivisor</f>
        <v>0.6681415454545455</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3</v>
      </c>
      <c r="D4" s="34">
        <f t="shared" si="1"/>
        <v>0</v>
      </c>
      <c r="E4" s="3">
        <f>COUNTIF(Vertices[Degree],"&gt;= "&amp;D4)-COUNTIF(Vertices[Degree],"&gt;="&amp;D5)</f>
        <v>0</v>
      </c>
      <c r="F4" s="39">
        <f t="shared" si="2"/>
        <v>0.07272727272727272</v>
      </c>
      <c r="G4" s="40">
        <f>COUNTIF(Vertices[In-Degree],"&gt;= "&amp;F4)-COUNTIF(Vertices[In-Degree],"&gt;="&amp;F5)</f>
        <v>0</v>
      </c>
      <c r="H4" s="39">
        <f t="shared" si="3"/>
        <v>0.07272727272727272</v>
      </c>
      <c r="I4" s="40">
        <f>COUNTIF(Vertices[Out-Degree],"&gt;= "&amp;H4)-COUNTIF(Vertices[Out-Degree],"&gt;="&amp;H5)</f>
        <v>0</v>
      </c>
      <c r="J4" s="39">
        <f t="shared" si="4"/>
        <v>0.07272727272727272</v>
      </c>
      <c r="K4" s="40">
        <f>COUNTIF(Vertices[Betweenness Centrality],"&gt;= "&amp;J4)-COUNTIF(Vertices[Betweenness Centrality],"&gt;="&amp;J5)</f>
        <v>0</v>
      </c>
      <c r="L4" s="39">
        <f t="shared" si="5"/>
        <v>0.3393936181818181</v>
      </c>
      <c r="M4" s="40">
        <f>COUNTIF(Vertices[Closeness Centrality],"&gt;= "&amp;L4)-COUNTIF(Vertices[Closeness Centrality],"&gt;="&amp;L5)</f>
        <v>0</v>
      </c>
      <c r="N4" s="39">
        <f t="shared" si="6"/>
        <v>0.20704405454545455</v>
      </c>
      <c r="O4" s="40">
        <f>COUNTIF(Vertices[Eigenvector Centrality],"&gt;= "&amp;N4)-COUNTIF(Vertices[Eigenvector Centrality],"&gt;="&amp;N5)</f>
        <v>0</v>
      </c>
      <c r="P4" s="39">
        <f t="shared" si="7"/>
        <v>0.677920090909091</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0.10909090909090909</v>
      </c>
      <c r="G5" s="42">
        <f>COUNTIF(Vertices[In-Degree],"&gt;= "&amp;F5)-COUNTIF(Vertices[In-Degree],"&gt;="&amp;F6)</f>
        <v>0</v>
      </c>
      <c r="H5" s="41">
        <f t="shared" si="3"/>
        <v>0.10909090909090909</v>
      </c>
      <c r="I5" s="42">
        <f>COUNTIF(Vertices[Out-Degree],"&gt;= "&amp;H5)-COUNTIF(Vertices[Out-Degree],"&gt;="&amp;H6)</f>
        <v>0</v>
      </c>
      <c r="J5" s="41">
        <f t="shared" si="4"/>
        <v>0.10909090909090909</v>
      </c>
      <c r="K5" s="42">
        <f>COUNTIF(Vertices[Betweenness Centrality],"&gt;= "&amp;J5)-COUNTIF(Vertices[Betweenness Centrality],"&gt;="&amp;J6)</f>
        <v>0</v>
      </c>
      <c r="L5" s="41">
        <f t="shared" si="5"/>
        <v>0.3424239272727272</v>
      </c>
      <c r="M5" s="42">
        <f>COUNTIF(Vertices[Closeness Centrality],"&gt;= "&amp;L5)-COUNTIF(Vertices[Closeness Centrality],"&gt;="&amp;L6)</f>
        <v>0</v>
      </c>
      <c r="N5" s="41">
        <f t="shared" si="6"/>
        <v>0.21153458181818183</v>
      </c>
      <c r="O5" s="42">
        <f>COUNTIF(Vertices[Eigenvector Centrality],"&gt;= "&amp;N5)-COUNTIF(Vertices[Eigenvector Centrality],"&gt;="&amp;N6)</f>
        <v>0</v>
      </c>
      <c r="P5" s="41">
        <f t="shared" si="7"/>
        <v>0.6876986363636365</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v>
      </c>
      <c r="D6" s="34">
        <f t="shared" si="1"/>
        <v>0</v>
      </c>
      <c r="E6" s="3">
        <f>COUNTIF(Vertices[Degree],"&gt;= "&amp;D6)-COUNTIF(Vertices[Degree],"&gt;="&amp;D7)</f>
        <v>0</v>
      </c>
      <c r="F6" s="39">
        <f t="shared" si="2"/>
        <v>0.14545454545454545</v>
      </c>
      <c r="G6" s="40">
        <f>COUNTIF(Vertices[In-Degree],"&gt;= "&amp;F6)-COUNTIF(Vertices[In-Degree],"&gt;="&amp;F7)</f>
        <v>0</v>
      </c>
      <c r="H6" s="39">
        <f t="shared" si="3"/>
        <v>0.14545454545454545</v>
      </c>
      <c r="I6" s="40">
        <f>COUNTIF(Vertices[Out-Degree],"&gt;= "&amp;H6)-COUNTIF(Vertices[Out-Degree],"&gt;="&amp;H7)</f>
        <v>0</v>
      </c>
      <c r="J6" s="39">
        <f t="shared" si="4"/>
        <v>0.14545454545454545</v>
      </c>
      <c r="K6" s="40">
        <f>COUNTIF(Vertices[Betweenness Centrality],"&gt;= "&amp;J6)-COUNTIF(Vertices[Betweenness Centrality],"&gt;="&amp;J7)</f>
        <v>0</v>
      </c>
      <c r="L6" s="39">
        <f t="shared" si="5"/>
        <v>0.34545423636363626</v>
      </c>
      <c r="M6" s="40">
        <f>COUNTIF(Vertices[Closeness Centrality],"&gt;= "&amp;L6)-COUNTIF(Vertices[Closeness Centrality],"&gt;="&amp;L7)</f>
        <v>0</v>
      </c>
      <c r="N6" s="39">
        <f t="shared" si="6"/>
        <v>0.2160251090909091</v>
      </c>
      <c r="O6" s="40">
        <f>COUNTIF(Vertices[Eigenvector Centrality],"&gt;= "&amp;N6)-COUNTIF(Vertices[Eigenvector Centrality],"&gt;="&amp;N7)</f>
        <v>0</v>
      </c>
      <c r="P6" s="39">
        <f t="shared" si="7"/>
        <v>0.697477181818182</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0.18181818181818182</v>
      </c>
      <c r="G7" s="42">
        <f>COUNTIF(Vertices[In-Degree],"&gt;= "&amp;F7)-COUNTIF(Vertices[In-Degree],"&gt;="&amp;F8)</f>
        <v>0</v>
      </c>
      <c r="H7" s="41">
        <f t="shared" si="3"/>
        <v>0.18181818181818182</v>
      </c>
      <c r="I7" s="42">
        <f>COUNTIF(Vertices[Out-Degree],"&gt;= "&amp;H7)-COUNTIF(Vertices[Out-Degree],"&gt;="&amp;H8)</f>
        <v>0</v>
      </c>
      <c r="J7" s="41">
        <f t="shared" si="4"/>
        <v>0.18181818181818182</v>
      </c>
      <c r="K7" s="42">
        <f>COUNTIF(Vertices[Betweenness Centrality],"&gt;= "&amp;J7)-COUNTIF(Vertices[Betweenness Centrality],"&gt;="&amp;J8)</f>
        <v>0</v>
      </c>
      <c r="L7" s="41">
        <f t="shared" si="5"/>
        <v>0.3484845454545453</v>
      </c>
      <c r="M7" s="42">
        <f>COUNTIF(Vertices[Closeness Centrality],"&gt;= "&amp;L7)-COUNTIF(Vertices[Closeness Centrality],"&gt;="&amp;L8)</f>
        <v>0</v>
      </c>
      <c r="N7" s="41">
        <f t="shared" si="6"/>
        <v>0.22051563636363639</v>
      </c>
      <c r="O7" s="42">
        <f>COUNTIF(Vertices[Eigenvector Centrality],"&gt;= "&amp;N7)-COUNTIF(Vertices[Eigenvector Centrality],"&gt;="&amp;N8)</f>
        <v>0</v>
      </c>
      <c r="P7" s="41">
        <f t="shared" si="7"/>
        <v>0.7072557272727275</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4</v>
      </c>
      <c r="D8" s="34">
        <f t="shared" si="1"/>
        <v>0</v>
      </c>
      <c r="E8" s="3">
        <f>COUNTIF(Vertices[Degree],"&gt;= "&amp;D8)-COUNTIF(Vertices[Degree],"&gt;="&amp;D9)</f>
        <v>0</v>
      </c>
      <c r="F8" s="39">
        <f t="shared" si="2"/>
        <v>0.2181818181818182</v>
      </c>
      <c r="G8" s="40">
        <f>COUNTIF(Vertices[In-Degree],"&gt;= "&amp;F8)-COUNTIF(Vertices[In-Degree],"&gt;="&amp;F9)</f>
        <v>0</v>
      </c>
      <c r="H8" s="39">
        <f t="shared" si="3"/>
        <v>0.2181818181818182</v>
      </c>
      <c r="I8" s="40">
        <f>COUNTIF(Vertices[Out-Degree],"&gt;= "&amp;H8)-COUNTIF(Vertices[Out-Degree],"&gt;="&amp;H9)</f>
        <v>0</v>
      </c>
      <c r="J8" s="39">
        <f t="shared" si="4"/>
        <v>0.2181818181818182</v>
      </c>
      <c r="K8" s="40">
        <f>COUNTIF(Vertices[Betweenness Centrality],"&gt;= "&amp;J8)-COUNTIF(Vertices[Betweenness Centrality],"&gt;="&amp;J9)</f>
        <v>0</v>
      </c>
      <c r="L8" s="39">
        <f t="shared" si="5"/>
        <v>0.3515148545454544</v>
      </c>
      <c r="M8" s="40">
        <f>COUNTIF(Vertices[Closeness Centrality],"&gt;= "&amp;L8)-COUNTIF(Vertices[Closeness Centrality],"&gt;="&amp;L9)</f>
        <v>0</v>
      </c>
      <c r="N8" s="39">
        <f t="shared" si="6"/>
        <v>0.22500616363636367</v>
      </c>
      <c r="O8" s="40">
        <f>COUNTIF(Vertices[Eigenvector Centrality],"&gt;= "&amp;N8)-COUNTIF(Vertices[Eigenvector Centrality],"&gt;="&amp;N9)</f>
        <v>0</v>
      </c>
      <c r="P8" s="39">
        <f t="shared" si="7"/>
        <v>0.7170342727272729</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0.2545454545454546</v>
      </c>
      <c r="G9" s="42">
        <f>COUNTIF(Vertices[In-Degree],"&gt;= "&amp;F9)-COUNTIF(Vertices[In-Degree],"&gt;="&amp;F10)</f>
        <v>0</v>
      </c>
      <c r="H9" s="41">
        <f t="shared" si="3"/>
        <v>0.2545454545454546</v>
      </c>
      <c r="I9" s="42">
        <f>COUNTIF(Vertices[Out-Degree],"&gt;= "&amp;H9)-COUNTIF(Vertices[Out-Degree],"&gt;="&amp;H10)</f>
        <v>0</v>
      </c>
      <c r="J9" s="41">
        <f t="shared" si="4"/>
        <v>0.2545454545454546</v>
      </c>
      <c r="K9" s="42">
        <f>COUNTIF(Vertices[Betweenness Centrality],"&gt;= "&amp;J9)-COUNTIF(Vertices[Betweenness Centrality],"&gt;="&amp;J10)</f>
        <v>0</v>
      </c>
      <c r="L9" s="41">
        <f t="shared" si="5"/>
        <v>0.35454516363636346</v>
      </c>
      <c r="M9" s="42">
        <f>COUNTIF(Vertices[Closeness Centrality],"&gt;= "&amp;L9)-COUNTIF(Vertices[Closeness Centrality],"&gt;="&amp;L10)</f>
        <v>0</v>
      </c>
      <c r="N9" s="41">
        <f t="shared" si="6"/>
        <v>0.22949669090909094</v>
      </c>
      <c r="O9" s="42">
        <f>COUNTIF(Vertices[Eigenvector Centrality],"&gt;= "&amp;N9)-COUNTIF(Vertices[Eigenvector Centrality],"&gt;="&amp;N10)</f>
        <v>0</v>
      </c>
      <c r="P9" s="41">
        <f t="shared" si="7"/>
        <v>0.7268128181818184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424</v>
      </c>
      <c r="B10" s="36">
        <v>2</v>
      </c>
      <c r="D10" s="34">
        <f t="shared" si="1"/>
        <v>0</v>
      </c>
      <c r="E10" s="3">
        <f>COUNTIF(Vertices[Degree],"&gt;= "&amp;D10)-COUNTIF(Vertices[Degree],"&gt;="&amp;D11)</f>
        <v>0</v>
      </c>
      <c r="F10" s="39">
        <f t="shared" si="2"/>
        <v>0.29090909090909095</v>
      </c>
      <c r="G10" s="40">
        <f>COUNTIF(Vertices[In-Degree],"&gt;= "&amp;F10)-COUNTIF(Vertices[In-Degree],"&gt;="&amp;F11)</f>
        <v>0</v>
      </c>
      <c r="H10" s="39">
        <f t="shared" si="3"/>
        <v>0.29090909090909095</v>
      </c>
      <c r="I10" s="40">
        <f>COUNTIF(Vertices[Out-Degree],"&gt;= "&amp;H10)-COUNTIF(Vertices[Out-Degree],"&gt;="&amp;H11)</f>
        <v>0</v>
      </c>
      <c r="J10" s="39">
        <f t="shared" si="4"/>
        <v>0.29090909090909095</v>
      </c>
      <c r="K10" s="40">
        <f>COUNTIF(Vertices[Betweenness Centrality],"&gt;= "&amp;J10)-COUNTIF(Vertices[Betweenness Centrality],"&gt;="&amp;J11)</f>
        <v>0</v>
      </c>
      <c r="L10" s="39">
        <f t="shared" si="5"/>
        <v>0.3575754727272725</v>
      </c>
      <c r="M10" s="40">
        <f>COUNTIF(Vertices[Closeness Centrality],"&gt;= "&amp;L10)-COUNTIF(Vertices[Closeness Centrality],"&gt;="&amp;L11)</f>
        <v>0</v>
      </c>
      <c r="N10" s="39">
        <f t="shared" si="6"/>
        <v>0.23398721818181822</v>
      </c>
      <c r="O10" s="40">
        <f>COUNTIF(Vertices[Eigenvector Centrality],"&gt;= "&amp;N10)-COUNTIF(Vertices[Eigenvector Centrality],"&gt;="&amp;N11)</f>
        <v>0</v>
      </c>
      <c r="P10" s="39">
        <f t="shared" si="7"/>
        <v>0.7365913636363639</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0.3272727272727273</v>
      </c>
      <c r="G11" s="42">
        <f>COUNTIF(Vertices[In-Degree],"&gt;= "&amp;F11)-COUNTIF(Vertices[In-Degree],"&gt;="&amp;F12)</f>
        <v>0</v>
      </c>
      <c r="H11" s="41">
        <f t="shared" si="3"/>
        <v>0.3272727272727273</v>
      </c>
      <c r="I11" s="42">
        <f>COUNTIF(Vertices[Out-Degree],"&gt;= "&amp;H11)-COUNTIF(Vertices[Out-Degree],"&gt;="&amp;H12)</f>
        <v>0</v>
      </c>
      <c r="J11" s="41">
        <f t="shared" si="4"/>
        <v>0.3272727272727273</v>
      </c>
      <c r="K11" s="42">
        <f>COUNTIF(Vertices[Betweenness Centrality],"&gt;= "&amp;J11)-COUNTIF(Vertices[Betweenness Centrality],"&gt;="&amp;J12)</f>
        <v>0</v>
      </c>
      <c r="L11" s="41">
        <f t="shared" si="5"/>
        <v>0.3606057818181816</v>
      </c>
      <c r="M11" s="42">
        <f>COUNTIF(Vertices[Closeness Centrality],"&gt;= "&amp;L11)-COUNTIF(Vertices[Closeness Centrality],"&gt;="&amp;L12)</f>
        <v>0</v>
      </c>
      <c r="N11" s="41">
        <f t="shared" si="6"/>
        <v>0.2384777454545455</v>
      </c>
      <c r="O11" s="42">
        <f>COUNTIF(Vertices[Eigenvector Centrality],"&gt;= "&amp;N11)-COUNTIF(Vertices[Eigenvector Centrality],"&gt;="&amp;N12)</f>
        <v>0</v>
      </c>
      <c r="P11" s="41">
        <f t="shared" si="7"/>
        <v>0.7463699090909094</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2</v>
      </c>
      <c r="D12" s="34">
        <f t="shared" si="1"/>
        <v>0</v>
      </c>
      <c r="E12" s="3">
        <f>COUNTIF(Vertices[Degree],"&gt;= "&amp;D12)-COUNTIF(Vertices[Degree],"&gt;="&amp;D13)</f>
        <v>0</v>
      </c>
      <c r="F12" s="39">
        <f t="shared" si="2"/>
        <v>0.3636363636363637</v>
      </c>
      <c r="G12" s="40">
        <f>COUNTIF(Vertices[In-Degree],"&gt;= "&amp;F12)-COUNTIF(Vertices[In-Degree],"&gt;="&amp;F13)</f>
        <v>0</v>
      </c>
      <c r="H12" s="39">
        <f t="shared" si="3"/>
        <v>0.3636363636363637</v>
      </c>
      <c r="I12" s="40">
        <f>COUNTIF(Vertices[Out-Degree],"&gt;= "&amp;H12)-COUNTIF(Vertices[Out-Degree],"&gt;="&amp;H13)</f>
        <v>0</v>
      </c>
      <c r="J12" s="39">
        <f t="shared" si="4"/>
        <v>0.3636363636363637</v>
      </c>
      <c r="K12" s="40">
        <f>COUNTIF(Vertices[Betweenness Centrality],"&gt;= "&amp;J12)-COUNTIF(Vertices[Betweenness Centrality],"&gt;="&amp;J13)</f>
        <v>0</v>
      </c>
      <c r="L12" s="39">
        <f t="shared" si="5"/>
        <v>0.36363609090909066</v>
      </c>
      <c r="M12" s="40">
        <f>COUNTIF(Vertices[Closeness Centrality],"&gt;= "&amp;L12)-COUNTIF(Vertices[Closeness Centrality],"&gt;="&amp;L13)</f>
        <v>0</v>
      </c>
      <c r="N12" s="39">
        <f t="shared" si="6"/>
        <v>0.24296827272727278</v>
      </c>
      <c r="O12" s="40">
        <f>COUNTIF(Vertices[Eigenvector Centrality],"&gt;= "&amp;N12)-COUNTIF(Vertices[Eigenvector Centrality],"&gt;="&amp;N13)</f>
        <v>0</v>
      </c>
      <c r="P12" s="39">
        <f t="shared" si="7"/>
        <v>0.7561484545454549</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215</v>
      </c>
      <c r="B13" s="36">
        <v>2</v>
      </c>
      <c r="D13" s="34">
        <f t="shared" si="1"/>
        <v>0</v>
      </c>
      <c r="E13" s="3">
        <f>COUNTIF(Vertices[Degree],"&gt;= "&amp;D13)-COUNTIF(Vertices[Degree],"&gt;="&amp;D14)</f>
        <v>0</v>
      </c>
      <c r="F13" s="41">
        <f t="shared" si="2"/>
        <v>0.4000000000000001</v>
      </c>
      <c r="G13" s="42">
        <f>COUNTIF(Vertices[In-Degree],"&gt;= "&amp;F13)-COUNTIF(Vertices[In-Degree],"&gt;="&amp;F14)</f>
        <v>0</v>
      </c>
      <c r="H13" s="41">
        <f t="shared" si="3"/>
        <v>0.4000000000000001</v>
      </c>
      <c r="I13" s="42">
        <f>COUNTIF(Vertices[Out-Degree],"&gt;= "&amp;H13)-COUNTIF(Vertices[Out-Degree],"&gt;="&amp;H14)</f>
        <v>0</v>
      </c>
      <c r="J13" s="41">
        <f t="shared" si="4"/>
        <v>0.4000000000000001</v>
      </c>
      <c r="K13" s="42">
        <f>COUNTIF(Vertices[Betweenness Centrality],"&gt;= "&amp;J13)-COUNTIF(Vertices[Betweenness Centrality],"&gt;="&amp;J14)</f>
        <v>0</v>
      </c>
      <c r="L13" s="41">
        <f t="shared" si="5"/>
        <v>0.3666663999999997</v>
      </c>
      <c r="M13" s="42">
        <f>COUNTIF(Vertices[Closeness Centrality],"&gt;= "&amp;L13)-COUNTIF(Vertices[Closeness Centrality],"&gt;="&amp;L14)</f>
        <v>0</v>
      </c>
      <c r="N13" s="41">
        <f t="shared" si="6"/>
        <v>0.24745880000000006</v>
      </c>
      <c r="O13" s="42">
        <f>COUNTIF(Vertices[Eigenvector Centrality],"&gt;= "&amp;N13)-COUNTIF(Vertices[Eigenvector Centrality],"&gt;="&amp;N14)</f>
        <v>0</v>
      </c>
      <c r="P13" s="41">
        <f t="shared" si="7"/>
        <v>0.7659270000000004</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26"/>
      <c r="B14" s="126"/>
      <c r="D14" s="34">
        <f t="shared" si="1"/>
        <v>0</v>
      </c>
      <c r="E14" s="3">
        <f>COUNTIF(Vertices[Degree],"&gt;= "&amp;D14)-COUNTIF(Vertices[Degree],"&gt;="&amp;D15)</f>
        <v>0</v>
      </c>
      <c r="F14" s="39">
        <f t="shared" si="2"/>
        <v>0.43636363636363645</v>
      </c>
      <c r="G14" s="40">
        <f>COUNTIF(Vertices[In-Degree],"&gt;= "&amp;F14)-COUNTIF(Vertices[In-Degree],"&gt;="&amp;F15)</f>
        <v>0</v>
      </c>
      <c r="H14" s="39">
        <f t="shared" si="3"/>
        <v>0.43636363636363645</v>
      </c>
      <c r="I14" s="40">
        <f>COUNTIF(Vertices[Out-Degree],"&gt;= "&amp;H14)-COUNTIF(Vertices[Out-Degree],"&gt;="&amp;H15)</f>
        <v>0</v>
      </c>
      <c r="J14" s="39">
        <f t="shared" si="4"/>
        <v>0.43636363636363645</v>
      </c>
      <c r="K14" s="40">
        <f>COUNTIF(Vertices[Betweenness Centrality],"&gt;= "&amp;J14)-COUNTIF(Vertices[Betweenness Centrality],"&gt;="&amp;J15)</f>
        <v>0</v>
      </c>
      <c r="L14" s="39">
        <f t="shared" si="5"/>
        <v>0.3696967090909088</v>
      </c>
      <c r="M14" s="40">
        <f>COUNTIF(Vertices[Closeness Centrality],"&gt;= "&amp;L14)-COUNTIF(Vertices[Closeness Centrality],"&gt;="&amp;L15)</f>
        <v>0</v>
      </c>
      <c r="N14" s="39">
        <f t="shared" si="6"/>
        <v>0.25194932727272734</v>
      </c>
      <c r="O14" s="40">
        <f>COUNTIF(Vertices[Eigenvector Centrality],"&gt;= "&amp;N14)-COUNTIF(Vertices[Eigenvector Centrality],"&gt;="&amp;N15)</f>
        <v>0</v>
      </c>
      <c r="P14" s="39">
        <f t="shared" si="7"/>
        <v>0.7757055454545458</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2</v>
      </c>
      <c r="D15" s="34">
        <f t="shared" si="1"/>
        <v>0</v>
      </c>
      <c r="E15" s="3">
        <f>COUNTIF(Vertices[Degree],"&gt;= "&amp;D15)-COUNTIF(Vertices[Degree],"&gt;="&amp;D16)</f>
        <v>0</v>
      </c>
      <c r="F15" s="41">
        <f t="shared" si="2"/>
        <v>0.47272727272727283</v>
      </c>
      <c r="G15" s="42">
        <f>COUNTIF(Vertices[In-Degree],"&gt;= "&amp;F15)-COUNTIF(Vertices[In-Degree],"&gt;="&amp;F16)</f>
        <v>0</v>
      </c>
      <c r="H15" s="41">
        <f t="shared" si="3"/>
        <v>0.47272727272727283</v>
      </c>
      <c r="I15" s="42">
        <f>COUNTIF(Vertices[Out-Degree],"&gt;= "&amp;H15)-COUNTIF(Vertices[Out-Degree],"&gt;="&amp;H16)</f>
        <v>0</v>
      </c>
      <c r="J15" s="41">
        <f t="shared" si="4"/>
        <v>0.47272727272727283</v>
      </c>
      <c r="K15" s="42">
        <f>COUNTIF(Vertices[Betweenness Centrality],"&gt;= "&amp;J15)-COUNTIF(Vertices[Betweenness Centrality],"&gt;="&amp;J16)</f>
        <v>0</v>
      </c>
      <c r="L15" s="41">
        <f t="shared" si="5"/>
        <v>0.37272701818181786</v>
      </c>
      <c r="M15" s="42">
        <f>COUNTIF(Vertices[Closeness Centrality],"&gt;= "&amp;L15)-COUNTIF(Vertices[Closeness Centrality],"&gt;="&amp;L16)</f>
        <v>0</v>
      </c>
      <c r="N15" s="41">
        <f t="shared" si="6"/>
        <v>0.2564398545454546</v>
      </c>
      <c r="O15" s="42">
        <f>COUNTIF(Vertices[Eigenvector Centrality],"&gt;= "&amp;N15)-COUNTIF(Vertices[Eigenvector Centrality],"&gt;="&amp;N16)</f>
        <v>0</v>
      </c>
      <c r="P15" s="41">
        <f t="shared" si="7"/>
        <v>0.7854840909090913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0.5090909090909091</v>
      </c>
      <c r="G16" s="40">
        <f>COUNTIF(Vertices[In-Degree],"&gt;= "&amp;F16)-COUNTIF(Vertices[In-Degree],"&gt;="&amp;F17)</f>
        <v>0</v>
      </c>
      <c r="H16" s="39">
        <f t="shared" si="3"/>
        <v>0.5090909090909091</v>
      </c>
      <c r="I16" s="40">
        <f>COUNTIF(Vertices[Out-Degree],"&gt;= "&amp;H16)-COUNTIF(Vertices[Out-Degree],"&gt;="&amp;H17)</f>
        <v>0</v>
      </c>
      <c r="J16" s="39">
        <f t="shared" si="4"/>
        <v>0.5090909090909091</v>
      </c>
      <c r="K16" s="40">
        <f>COUNTIF(Vertices[Betweenness Centrality],"&gt;= "&amp;J16)-COUNTIF(Vertices[Betweenness Centrality],"&gt;="&amp;J17)</f>
        <v>0</v>
      </c>
      <c r="L16" s="39">
        <f t="shared" si="5"/>
        <v>0.3757573272727269</v>
      </c>
      <c r="M16" s="40">
        <f>COUNTIF(Vertices[Closeness Centrality],"&gt;= "&amp;L16)-COUNTIF(Vertices[Closeness Centrality],"&gt;="&amp;L17)</f>
        <v>0</v>
      </c>
      <c r="N16" s="39">
        <f t="shared" si="6"/>
        <v>0.26093038181818184</v>
      </c>
      <c r="O16" s="40">
        <f>COUNTIF(Vertices[Eigenvector Centrality],"&gt;= "&amp;N16)-COUNTIF(Vertices[Eigenvector Centrality],"&gt;="&amp;N17)</f>
        <v>0</v>
      </c>
      <c r="P16" s="39">
        <f t="shared" si="7"/>
        <v>0.7952626363636368</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0.5454545454545455</v>
      </c>
      <c r="G17" s="42">
        <f>COUNTIF(Vertices[In-Degree],"&gt;= "&amp;F17)-COUNTIF(Vertices[In-Degree],"&gt;="&amp;F18)</f>
        <v>0</v>
      </c>
      <c r="H17" s="41">
        <f t="shared" si="3"/>
        <v>0.5454545454545455</v>
      </c>
      <c r="I17" s="42">
        <f>COUNTIF(Vertices[Out-Degree],"&gt;= "&amp;H17)-COUNTIF(Vertices[Out-Degree],"&gt;="&amp;H18)</f>
        <v>0</v>
      </c>
      <c r="J17" s="41">
        <f t="shared" si="4"/>
        <v>0.5454545454545455</v>
      </c>
      <c r="K17" s="42">
        <f>COUNTIF(Vertices[Betweenness Centrality],"&gt;= "&amp;J17)-COUNTIF(Vertices[Betweenness Centrality],"&gt;="&amp;J18)</f>
        <v>0</v>
      </c>
      <c r="L17" s="41">
        <f t="shared" si="5"/>
        <v>0.378787636363636</v>
      </c>
      <c r="M17" s="42">
        <f>COUNTIF(Vertices[Closeness Centrality],"&gt;= "&amp;L17)-COUNTIF(Vertices[Closeness Centrality],"&gt;="&amp;L18)</f>
        <v>0</v>
      </c>
      <c r="N17" s="41">
        <f t="shared" si="6"/>
        <v>0.2654209090909091</v>
      </c>
      <c r="O17" s="42">
        <f>COUNTIF(Vertices[Eigenvector Centrality],"&gt;= "&amp;N17)-COUNTIF(Vertices[Eigenvector Centrality],"&gt;="&amp;N18)</f>
        <v>0</v>
      </c>
      <c r="P17" s="41">
        <f t="shared" si="7"/>
        <v>0.8050411818181823</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0.5818181818181819</v>
      </c>
      <c r="G18" s="40">
        <f>COUNTIF(Vertices[In-Degree],"&gt;= "&amp;F18)-COUNTIF(Vertices[In-Degree],"&gt;="&amp;F19)</f>
        <v>0</v>
      </c>
      <c r="H18" s="39">
        <f t="shared" si="3"/>
        <v>0.5818181818181819</v>
      </c>
      <c r="I18" s="40">
        <f>COUNTIF(Vertices[Out-Degree],"&gt;= "&amp;H18)-COUNTIF(Vertices[Out-Degree],"&gt;="&amp;H19)</f>
        <v>0</v>
      </c>
      <c r="J18" s="39">
        <f t="shared" si="4"/>
        <v>0.5818181818181819</v>
      </c>
      <c r="K18" s="40">
        <f>COUNTIF(Vertices[Betweenness Centrality],"&gt;= "&amp;J18)-COUNTIF(Vertices[Betweenness Centrality],"&gt;="&amp;J19)</f>
        <v>0</v>
      </c>
      <c r="L18" s="39">
        <f t="shared" si="5"/>
        <v>0.38181794545454506</v>
      </c>
      <c r="M18" s="40">
        <f>COUNTIF(Vertices[Closeness Centrality],"&gt;= "&amp;L18)-COUNTIF(Vertices[Closeness Centrality],"&gt;="&amp;L19)</f>
        <v>0</v>
      </c>
      <c r="N18" s="39">
        <f t="shared" si="6"/>
        <v>0.26991143636363635</v>
      </c>
      <c r="O18" s="40">
        <f>COUNTIF(Vertices[Eigenvector Centrality],"&gt;= "&amp;N18)-COUNTIF(Vertices[Eigenvector Centrality],"&gt;="&amp;N19)</f>
        <v>0</v>
      </c>
      <c r="P18" s="39">
        <f t="shared" si="7"/>
        <v>0.8148197272727278</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0.6181818181818183</v>
      </c>
      <c r="G19" s="42">
        <f>COUNTIF(Vertices[In-Degree],"&gt;= "&amp;F19)-COUNTIF(Vertices[In-Degree],"&gt;="&amp;F20)</f>
        <v>0</v>
      </c>
      <c r="H19" s="41">
        <f t="shared" si="3"/>
        <v>0.6181818181818183</v>
      </c>
      <c r="I19" s="42">
        <f>COUNTIF(Vertices[Out-Degree],"&gt;= "&amp;H19)-COUNTIF(Vertices[Out-Degree],"&gt;="&amp;H20)</f>
        <v>0</v>
      </c>
      <c r="J19" s="41">
        <f t="shared" si="4"/>
        <v>0.6181818181818183</v>
      </c>
      <c r="K19" s="42">
        <f>COUNTIF(Vertices[Betweenness Centrality],"&gt;= "&amp;J19)-COUNTIF(Vertices[Betweenness Centrality],"&gt;="&amp;J20)</f>
        <v>0</v>
      </c>
      <c r="L19" s="41">
        <f t="shared" si="5"/>
        <v>0.3848482545454541</v>
      </c>
      <c r="M19" s="42">
        <f>COUNTIF(Vertices[Closeness Centrality],"&gt;= "&amp;L19)-COUNTIF(Vertices[Closeness Centrality],"&gt;="&amp;L20)</f>
        <v>0</v>
      </c>
      <c r="N19" s="41">
        <f t="shared" si="6"/>
        <v>0.2744019636363636</v>
      </c>
      <c r="O19" s="42">
        <f>COUNTIF(Vertices[Eigenvector Centrality],"&gt;= "&amp;N19)-COUNTIF(Vertices[Eigenvector Centrality],"&gt;="&amp;N20)</f>
        <v>0</v>
      </c>
      <c r="P19" s="41">
        <f t="shared" si="7"/>
        <v>0.8245982727272733</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1</v>
      </c>
      <c r="D20" s="34">
        <f t="shared" si="1"/>
        <v>0</v>
      </c>
      <c r="E20" s="3">
        <f>COUNTIF(Vertices[Degree],"&gt;= "&amp;D20)-COUNTIF(Vertices[Degree],"&gt;="&amp;D21)</f>
        <v>0</v>
      </c>
      <c r="F20" s="39">
        <f t="shared" si="2"/>
        <v>0.6545454545454547</v>
      </c>
      <c r="G20" s="40">
        <f>COUNTIF(Vertices[In-Degree],"&gt;= "&amp;F20)-COUNTIF(Vertices[In-Degree],"&gt;="&amp;F21)</f>
        <v>0</v>
      </c>
      <c r="H20" s="39">
        <f t="shared" si="3"/>
        <v>0.6545454545454547</v>
      </c>
      <c r="I20" s="40">
        <f>COUNTIF(Vertices[Out-Degree],"&gt;= "&amp;H20)-COUNTIF(Vertices[Out-Degree],"&gt;="&amp;H21)</f>
        <v>0</v>
      </c>
      <c r="J20" s="39">
        <f t="shared" si="4"/>
        <v>0.6545454545454547</v>
      </c>
      <c r="K20" s="40">
        <f>COUNTIF(Vertices[Betweenness Centrality],"&gt;= "&amp;J20)-COUNTIF(Vertices[Betweenness Centrality],"&gt;="&amp;J21)</f>
        <v>0</v>
      </c>
      <c r="L20" s="39">
        <f t="shared" si="5"/>
        <v>0.3878785636363632</v>
      </c>
      <c r="M20" s="40">
        <f>COUNTIF(Vertices[Closeness Centrality],"&gt;= "&amp;L20)-COUNTIF(Vertices[Closeness Centrality],"&gt;="&amp;L21)</f>
        <v>0</v>
      </c>
      <c r="N20" s="39">
        <f t="shared" si="6"/>
        <v>0.27889249090909085</v>
      </c>
      <c r="O20" s="40">
        <f>COUNTIF(Vertices[Eigenvector Centrality],"&gt;= "&amp;N20)-COUNTIF(Vertices[Eigenvector Centrality],"&gt;="&amp;N21)</f>
        <v>0</v>
      </c>
      <c r="P20" s="39">
        <f t="shared" si="7"/>
        <v>0.8343768181818187</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0.690909090909091</v>
      </c>
      <c r="G21" s="42">
        <f>COUNTIF(Vertices[In-Degree],"&gt;= "&amp;F21)-COUNTIF(Vertices[In-Degree],"&gt;="&amp;F22)</f>
        <v>0</v>
      </c>
      <c r="H21" s="41">
        <f t="shared" si="3"/>
        <v>0.690909090909091</v>
      </c>
      <c r="I21" s="42">
        <f>COUNTIF(Vertices[Out-Degree],"&gt;= "&amp;H21)-COUNTIF(Vertices[Out-Degree],"&gt;="&amp;H22)</f>
        <v>0</v>
      </c>
      <c r="J21" s="41">
        <f t="shared" si="4"/>
        <v>0.690909090909091</v>
      </c>
      <c r="K21" s="42">
        <f>COUNTIF(Vertices[Betweenness Centrality],"&gt;= "&amp;J21)-COUNTIF(Vertices[Betweenness Centrality],"&gt;="&amp;J22)</f>
        <v>0</v>
      </c>
      <c r="L21" s="41">
        <f t="shared" si="5"/>
        <v>0.39090887272727226</v>
      </c>
      <c r="M21" s="42">
        <f>COUNTIF(Vertices[Closeness Centrality],"&gt;= "&amp;L21)-COUNTIF(Vertices[Closeness Centrality],"&gt;="&amp;L22)</f>
        <v>0</v>
      </c>
      <c r="N21" s="41">
        <f t="shared" si="6"/>
        <v>0.2833830181818181</v>
      </c>
      <c r="O21" s="42">
        <f>COUNTIF(Vertices[Eigenvector Centrality],"&gt;= "&amp;N21)-COUNTIF(Vertices[Eigenvector Centrality],"&gt;="&amp;N22)</f>
        <v>0</v>
      </c>
      <c r="P21" s="41">
        <f t="shared" si="7"/>
        <v>0.8441553636363642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3</v>
      </c>
      <c r="D22" s="34">
        <f t="shared" si="1"/>
        <v>0</v>
      </c>
      <c r="E22" s="3">
        <f>COUNTIF(Vertices[Degree],"&gt;= "&amp;D22)-COUNTIF(Vertices[Degree],"&gt;="&amp;D23)</f>
        <v>0</v>
      </c>
      <c r="F22" s="39">
        <f t="shared" si="2"/>
        <v>0.7272727272727274</v>
      </c>
      <c r="G22" s="40">
        <f>COUNTIF(Vertices[In-Degree],"&gt;= "&amp;F22)-COUNTIF(Vertices[In-Degree],"&gt;="&amp;F23)</f>
        <v>0</v>
      </c>
      <c r="H22" s="39">
        <f t="shared" si="3"/>
        <v>0.7272727272727274</v>
      </c>
      <c r="I22" s="40">
        <f>COUNTIF(Vertices[Out-Degree],"&gt;= "&amp;H22)-COUNTIF(Vertices[Out-Degree],"&gt;="&amp;H23)</f>
        <v>0</v>
      </c>
      <c r="J22" s="39">
        <f t="shared" si="4"/>
        <v>0.7272727272727274</v>
      </c>
      <c r="K22" s="40">
        <f>COUNTIF(Vertices[Betweenness Centrality],"&gt;= "&amp;J22)-COUNTIF(Vertices[Betweenness Centrality],"&gt;="&amp;J23)</f>
        <v>0</v>
      </c>
      <c r="L22" s="39">
        <f t="shared" si="5"/>
        <v>0.3939391818181813</v>
      </c>
      <c r="M22" s="40">
        <f>COUNTIF(Vertices[Closeness Centrality],"&gt;= "&amp;L22)-COUNTIF(Vertices[Closeness Centrality],"&gt;="&amp;L23)</f>
        <v>0</v>
      </c>
      <c r="N22" s="39">
        <f t="shared" si="6"/>
        <v>0.28787354545454535</v>
      </c>
      <c r="O22" s="40">
        <f>COUNTIF(Vertices[Eigenvector Centrality],"&gt;= "&amp;N22)-COUNTIF(Vertices[Eigenvector Centrality],"&gt;="&amp;N23)</f>
        <v>0</v>
      </c>
      <c r="P22" s="39">
        <f t="shared" si="7"/>
        <v>0.8539339090909097</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4</v>
      </c>
      <c r="D23" s="34">
        <f t="shared" si="1"/>
        <v>0</v>
      </c>
      <c r="E23" s="3">
        <f>COUNTIF(Vertices[Degree],"&gt;= "&amp;D23)-COUNTIF(Vertices[Degree],"&gt;="&amp;D24)</f>
        <v>0</v>
      </c>
      <c r="F23" s="41">
        <f t="shared" si="2"/>
        <v>0.7636363636363638</v>
      </c>
      <c r="G23" s="42">
        <f>COUNTIF(Vertices[In-Degree],"&gt;= "&amp;F23)-COUNTIF(Vertices[In-Degree],"&gt;="&amp;F24)</f>
        <v>0</v>
      </c>
      <c r="H23" s="41">
        <f t="shared" si="3"/>
        <v>0.7636363636363638</v>
      </c>
      <c r="I23" s="42">
        <f>COUNTIF(Vertices[Out-Degree],"&gt;= "&amp;H23)-COUNTIF(Vertices[Out-Degree],"&gt;="&amp;H24)</f>
        <v>0</v>
      </c>
      <c r="J23" s="41">
        <f t="shared" si="4"/>
        <v>0.7636363636363638</v>
      </c>
      <c r="K23" s="42">
        <f>COUNTIF(Vertices[Betweenness Centrality],"&gt;= "&amp;J23)-COUNTIF(Vertices[Betweenness Centrality],"&gt;="&amp;J24)</f>
        <v>0</v>
      </c>
      <c r="L23" s="41">
        <f t="shared" si="5"/>
        <v>0.3969694909090904</v>
      </c>
      <c r="M23" s="42">
        <f>COUNTIF(Vertices[Closeness Centrality],"&gt;= "&amp;L23)-COUNTIF(Vertices[Closeness Centrality],"&gt;="&amp;L24)</f>
        <v>0</v>
      </c>
      <c r="N23" s="41">
        <f t="shared" si="6"/>
        <v>0.2923640727272726</v>
      </c>
      <c r="O23" s="42">
        <f>COUNTIF(Vertices[Eigenvector Centrality],"&gt;= "&amp;N23)-COUNTIF(Vertices[Eigenvector Centrality],"&gt;="&amp;N24)</f>
        <v>0</v>
      </c>
      <c r="P23" s="41">
        <f t="shared" si="7"/>
        <v>0.8637124545454552</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26"/>
      <c r="B24" s="126"/>
      <c r="D24" s="34">
        <f t="shared" si="1"/>
        <v>0</v>
      </c>
      <c r="E24" s="3">
        <f>COUNTIF(Vertices[Degree],"&gt;= "&amp;D24)-COUNTIF(Vertices[Degree],"&gt;="&amp;D25)</f>
        <v>0</v>
      </c>
      <c r="F24" s="39">
        <f t="shared" si="2"/>
        <v>0.8000000000000002</v>
      </c>
      <c r="G24" s="40">
        <f>COUNTIF(Vertices[In-Degree],"&gt;= "&amp;F24)-COUNTIF(Vertices[In-Degree],"&gt;="&amp;F25)</f>
        <v>0</v>
      </c>
      <c r="H24" s="39">
        <f t="shared" si="3"/>
        <v>0.8000000000000002</v>
      </c>
      <c r="I24" s="40">
        <f>COUNTIF(Vertices[Out-Degree],"&gt;= "&amp;H24)-COUNTIF(Vertices[Out-Degree],"&gt;="&amp;H25)</f>
        <v>0</v>
      </c>
      <c r="J24" s="39">
        <f t="shared" si="4"/>
        <v>0.8000000000000002</v>
      </c>
      <c r="K24" s="40">
        <f>COUNTIF(Vertices[Betweenness Centrality],"&gt;= "&amp;J24)-COUNTIF(Vertices[Betweenness Centrality],"&gt;="&amp;J25)</f>
        <v>0</v>
      </c>
      <c r="L24" s="39">
        <f t="shared" si="5"/>
        <v>0.39999979999999946</v>
      </c>
      <c r="M24" s="40">
        <f>COUNTIF(Vertices[Closeness Centrality],"&gt;= "&amp;L24)-COUNTIF(Vertices[Closeness Centrality],"&gt;="&amp;L25)</f>
        <v>0</v>
      </c>
      <c r="N24" s="39">
        <f t="shared" si="6"/>
        <v>0.29685459999999986</v>
      </c>
      <c r="O24" s="40">
        <f>COUNTIF(Vertices[Eigenvector Centrality],"&gt;= "&amp;N24)-COUNTIF(Vertices[Eigenvector Centrality],"&gt;="&amp;N25)</f>
        <v>0</v>
      </c>
      <c r="P24" s="39">
        <f t="shared" si="7"/>
        <v>0.8734910000000007</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2</v>
      </c>
      <c r="D25" s="34">
        <f t="shared" si="1"/>
        <v>0</v>
      </c>
      <c r="E25" s="3">
        <f>COUNTIF(Vertices[Degree],"&gt;= "&amp;D25)-COUNTIF(Vertices[Degree],"&gt;="&amp;D26)</f>
        <v>0</v>
      </c>
      <c r="F25" s="41">
        <f t="shared" si="2"/>
        <v>0.8363636363636365</v>
      </c>
      <c r="G25" s="42">
        <f>COUNTIF(Vertices[In-Degree],"&gt;= "&amp;F25)-COUNTIF(Vertices[In-Degree],"&gt;="&amp;F26)</f>
        <v>0</v>
      </c>
      <c r="H25" s="41">
        <f t="shared" si="3"/>
        <v>0.8363636363636365</v>
      </c>
      <c r="I25" s="42">
        <f>COUNTIF(Vertices[Out-Degree],"&gt;= "&amp;H25)-COUNTIF(Vertices[Out-Degree],"&gt;="&amp;H26)</f>
        <v>0</v>
      </c>
      <c r="J25" s="41">
        <f t="shared" si="4"/>
        <v>0.8363636363636365</v>
      </c>
      <c r="K25" s="42">
        <f>COUNTIF(Vertices[Betweenness Centrality],"&gt;= "&amp;J25)-COUNTIF(Vertices[Betweenness Centrality],"&gt;="&amp;J26)</f>
        <v>0</v>
      </c>
      <c r="L25" s="41">
        <f t="shared" si="5"/>
        <v>0.40303010909090853</v>
      </c>
      <c r="M25" s="42">
        <f>COUNTIF(Vertices[Closeness Centrality],"&gt;= "&amp;L25)-COUNTIF(Vertices[Closeness Centrality],"&gt;="&amp;L26)</f>
        <v>0</v>
      </c>
      <c r="N25" s="41">
        <f t="shared" si="6"/>
        <v>0.3013451272727271</v>
      </c>
      <c r="O25" s="42">
        <f>COUNTIF(Vertices[Eigenvector Centrality],"&gt;= "&amp;N25)-COUNTIF(Vertices[Eigenvector Centrality],"&gt;="&amp;N26)</f>
        <v>0</v>
      </c>
      <c r="P25" s="41">
        <f t="shared" si="7"/>
        <v>0.8832695454545462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0.888889</v>
      </c>
      <c r="D26" s="34">
        <f t="shared" si="1"/>
        <v>0</v>
      </c>
      <c r="E26" s="3">
        <f>COUNTIF(Vertices[Degree],"&gt;= "&amp;D26)-COUNTIF(Vertices[Degree],"&gt;="&amp;D28)</f>
        <v>0</v>
      </c>
      <c r="F26" s="39">
        <f t="shared" si="2"/>
        <v>0.8727272727272729</v>
      </c>
      <c r="G26" s="40">
        <f>COUNTIF(Vertices[In-Degree],"&gt;= "&amp;F26)-COUNTIF(Vertices[In-Degree],"&gt;="&amp;F28)</f>
        <v>0</v>
      </c>
      <c r="H26" s="39">
        <f t="shared" si="3"/>
        <v>0.8727272727272729</v>
      </c>
      <c r="I26" s="40">
        <f>COUNTIF(Vertices[Out-Degree],"&gt;= "&amp;H26)-COUNTIF(Vertices[Out-Degree],"&gt;="&amp;H28)</f>
        <v>0</v>
      </c>
      <c r="J26" s="39">
        <f t="shared" si="4"/>
        <v>0.8727272727272729</v>
      </c>
      <c r="K26" s="40">
        <f>COUNTIF(Vertices[Betweenness Centrality],"&gt;= "&amp;J26)-COUNTIF(Vertices[Betweenness Centrality],"&gt;="&amp;J28)</f>
        <v>0</v>
      </c>
      <c r="L26" s="39">
        <f t="shared" si="5"/>
        <v>0.4060604181818176</v>
      </c>
      <c r="M26" s="40">
        <f>COUNTIF(Vertices[Closeness Centrality],"&gt;= "&amp;L26)-COUNTIF(Vertices[Closeness Centrality],"&gt;="&amp;L28)</f>
        <v>0</v>
      </c>
      <c r="N26" s="39">
        <f t="shared" si="6"/>
        <v>0.30583565454545436</v>
      </c>
      <c r="O26" s="40">
        <f>COUNTIF(Vertices[Eigenvector Centrality],"&gt;= "&amp;N26)-COUNTIF(Vertices[Eigenvector Centrality],"&gt;="&amp;N28)</f>
        <v>0</v>
      </c>
      <c r="P26" s="39">
        <f t="shared" si="7"/>
        <v>0.8930480909090917</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26"/>
      <c r="B27" s="126"/>
      <c r="D27" s="34"/>
      <c r="E27" s="3">
        <f>COUNTIF(Vertices[Degree],"&gt;= "&amp;D27)-COUNTIF(Vertices[Degree],"&gt;="&amp;D28)</f>
        <v>0</v>
      </c>
      <c r="F27" s="79"/>
      <c r="G27" s="80">
        <f>COUNTIF(Vertices[In-Degree],"&gt;= "&amp;F27)-COUNTIF(Vertices[In-Degree],"&gt;="&amp;F28)</f>
        <v>-2</v>
      </c>
      <c r="H27" s="79"/>
      <c r="I27" s="80">
        <f>COUNTIF(Vertices[Out-Degree],"&gt;= "&amp;H27)-COUNTIF(Vertices[Out-Degree],"&gt;="&amp;H28)</f>
        <v>-2</v>
      </c>
      <c r="J27" s="79"/>
      <c r="K27" s="80">
        <f>COUNTIF(Vertices[Betweenness Centrality],"&gt;= "&amp;J27)-COUNTIF(Vertices[Betweenness Centrality],"&gt;="&amp;J28)</f>
        <v>-1</v>
      </c>
      <c r="L27" s="79"/>
      <c r="M27" s="80">
        <f>COUNTIF(Vertices[Closeness Centrality],"&gt;= "&amp;L27)-COUNTIF(Vertices[Closeness Centrality],"&gt;="&amp;L28)</f>
        <v>-1</v>
      </c>
      <c r="N27" s="79"/>
      <c r="O27" s="80">
        <f>COUNTIF(Vertices[Eigenvector Centrality],"&gt;= "&amp;N27)-COUNTIF(Vertices[Eigenvector Centrality],"&gt;="&amp;N28)</f>
        <v>-2</v>
      </c>
      <c r="P27" s="79"/>
      <c r="Q27" s="80">
        <f>COUNTIF(Vertices[Eigenvector Centrality],"&gt;= "&amp;P27)-COUNTIF(Vertices[Eigenvector Centrality],"&gt;="&amp;P28)</f>
        <v>0</v>
      </c>
      <c r="R27" s="79"/>
      <c r="S27" s="81">
        <f>COUNTIF(Vertices[Clustering Coefficient],"&gt;= "&amp;R27)-COUNTIF(Vertices[Clustering Coefficient],"&gt;="&amp;R28)</f>
        <v>-3</v>
      </c>
      <c r="T27" s="79"/>
      <c r="U27" s="80">
        <f ca="1">COUNTIF(Vertices[Clustering Coefficient],"&gt;= "&amp;T27)-COUNTIF(Vertices[Clustering Coefficient],"&gt;="&amp;T28)</f>
        <v>0</v>
      </c>
    </row>
    <row r="28" spans="1:21" ht="15">
      <c r="A28" s="36" t="s">
        <v>158</v>
      </c>
      <c r="B28" s="36">
        <v>0.3333333333333333</v>
      </c>
      <c r="D28" s="34">
        <f>D26+($D$57-$D$2)/BinDivisor</f>
        <v>0</v>
      </c>
      <c r="E28" s="3">
        <f>COUNTIF(Vertices[Degree],"&gt;= "&amp;D28)-COUNTIF(Vertices[Degree],"&gt;="&amp;D40)</f>
        <v>0</v>
      </c>
      <c r="F28" s="41">
        <f>F26+($F$57-$F$2)/BinDivisor</f>
        <v>0.9090909090909093</v>
      </c>
      <c r="G28" s="42">
        <f>COUNTIF(Vertices[In-Degree],"&gt;= "&amp;F28)-COUNTIF(Vertices[In-Degree],"&gt;="&amp;F40)</f>
        <v>0</v>
      </c>
      <c r="H28" s="41">
        <f>H26+($H$57-$H$2)/BinDivisor</f>
        <v>0.9090909090909093</v>
      </c>
      <c r="I28" s="42">
        <f>COUNTIF(Vertices[Out-Degree],"&gt;= "&amp;H28)-COUNTIF(Vertices[Out-Degree],"&gt;="&amp;H40)</f>
        <v>0</v>
      </c>
      <c r="J28" s="41">
        <f>J26+($J$57-$J$2)/BinDivisor</f>
        <v>0.9090909090909093</v>
      </c>
      <c r="K28" s="42">
        <f>COUNTIF(Vertices[Betweenness Centrality],"&gt;= "&amp;J28)-COUNTIF(Vertices[Betweenness Centrality],"&gt;="&amp;J40)</f>
        <v>0</v>
      </c>
      <c r="L28" s="41">
        <f>L26+($L$57-$L$2)/BinDivisor</f>
        <v>0.40909072727272666</v>
      </c>
      <c r="M28" s="42">
        <f>COUNTIF(Vertices[Closeness Centrality],"&gt;= "&amp;L28)-COUNTIF(Vertices[Closeness Centrality],"&gt;="&amp;L40)</f>
        <v>0</v>
      </c>
      <c r="N28" s="41">
        <f>N26+($N$57-$N$2)/BinDivisor</f>
        <v>0.3103261818181816</v>
      </c>
      <c r="O28" s="42">
        <f>COUNTIF(Vertices[Eigenvector Centrality],"&gt;= "&amp;N28)-COUNTIF(Vertices[Eigenvector Centrality],"&gt;="&amp;N40)</f>
        <v>0</v>
      </c>
      <c r="P28" s="41">
        <f>P26+($P$57-$P$2)/BinDivisor</f>
        <v>0.9028266363636371</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425</v>
      </c>
      <c r="B29" s="36">
        <v>0.234375</v>
      </c>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126"/>
      <c r="B30" s="126"/>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36" t="s">
        <v>426</v>
      </c>
      <c r="B31" s="36" t="s">
        <v>427</v>
      </c>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4:21" ht="15">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4:21" ht="15">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4:21" ht="15">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4:21" ht="15">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4:21" ht="15">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4:21" ht="15">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4:21" ht="15">
      <c r="D38" s="34"/>
      <c r="E38" s="3">
        <f>COUNTIF(Vertices[Degree],"&gt;= "&amp;D38)-COUNTIF(Vertices[Degree],"&gt;="&amp;D40)</f>
        <v>0</v>
      </c>
      <c r="F38" s="79"/>
      <c r="G38" s="80">
        <f>COUNTIF(Vertices[In-Degree],"&gt;= "&amp;F38)-COUNTIF(Vertices[In-Degree],"&gt;="&amp;F40)</f>
        <v>-2</v>
      </c>
      <c r="H38" s="79"/>
      <c r="I38" s="80">
        <f>COUNTIF(Vertices[Out-Degree],"&gt;= "&amp;H38)-COUNTIF(Vertices[Out-Degree],"&gt;="&amp;H40)</f>
        <v>-2</v>
      </c>
      <c r="J38" s="79"/>
      <c r="K38" s="80">
        <f>COUNTIF(Vertices[Betweenness Centrality],"&gt;= "&amp;J38)-COUNTIF(Vertices[Betweenness Centrality],"&gt;="&amp;J40)</f>
        <v>-1</v>
      </c>
      <c r="L38" s="79"/>
      <c r="M38" s="80">
        <f>COUNTIF(Vertices[Closeness Centrality],"&gt;= "&amp;L38)-COUNTIF(Vertices[Closeness Centrality],"&gt;="&amp;L40)</f>
        <v>-1</v>
      </c>
      <c r="N38" s="79"/>
      <c r="O38" s="80">
        <f>COUNTIF(Vertices[Eigenvector Centrality],"&gt;= "&amp;N38)-COUNTIF(Vertices[Eigenvector Centrality],"&gt;="&amp;N40)</f>
        <v>-2</v>
      </c>
      <c r="P38" s="79"/>
      <c r="Q38" s="80">
        <f>COUNTIF(Vertices[Eigenvector Centrality],"&gt;= "&amp;P38)-COUNTIF(Vertices[Eigenvector Centrality],"&gt;="&amp;P40)</f>
        <v>0</v>
      </c>
      <c r="R38" s="79"/>
      <c r="S38" s="81">
        <f>COUNTIF(Vertices[Clustering Coefficient],"&gt;= "&amp;R38)-COUNTIF(Vertices[Clustering Coefficient],"&gt;="&amp;R40)</f>
        <v>-3</v>
      </c>
      <c r="T38" s="79"/>
      <c r="U38" s="80">
        <f ca="1">COUNTIF(Vertices[Clustering Coefficient],"&gt;= "&amp;T38)-COUNTIF(Vertices[Clustering Coefficient],"&gt;="&amp;T40)</f>
        <v>0</v>
      </c>
    </row>
    <row r="39" spans="4:21" ht="15">
      <c r="D39" s="34"/>
      <c r="E39" s="3">
        <f>COUNTIF(Vertices[Degree],"&gt;= "&amp;D39)-COUNTIF(Vertices[Degree],"&gt;="&amp;D40)</f>
        <v>0</v>
      </c>
      <c r="F39" s="79"/>
      <c r="G39" s="80">
        <f>COUNTIF(Vertices[In-Degree],"&gt;= "&amp;F39)-COUNTIF(Vertices[In-Degree],"&gt;="&amp;F40)</f>
        <v>-2</v>
      </c>
      <c r="H39" s="79"/>
      <c r="I39" s="80">
        <f>COUNTIF(Vertices[Out-Degree],"&gt;= "&amp;H39)-COUNTIF(Vertices[Out-Degree],"&gt;="&amp;H40)</f>
        <v>-2</v>
      </c>
      <c r="J39" s="79"/>
      <c r="K39" s="80">
        <f>COUNTIF(Vertices[Betweenness Centrality],"&gt;= "&amp;J39)-COUNTIF(Vertices[Betweenness Centrality],"&gt;="&amp;J40)</f>
        <v>-1</v>
      </c>
      <c r="L39" s="79"/>
      <c r="M39" s="80">
        <f>COUNTIF(Vertices[Closeness Centrality],"&gt;= "&amp;L39)-COUNTIF(Vertices[Closeness Centrality],"&gt;="&amp;L40)</f>
        <v>-1</v>
      </c>
      <c r="N39" s="79"/>
      <c r="O39" s="80">
        <f>COUNTIF(Vertices[Eigenvector Centrality],"&gt;= "&amp;N39)-COUNTIF(Vertices[Eigenvector Centrality],"&gt;="&amp;N40)</f>
        <v>-2</v>
      </c>
      <c r="P39" s="79"/>
      <c r="Q39" s="80">
        <f>COUNTIF(Vertices[Eigenvector Centrality],"&gt;= "&amp;P39)-COUNTIF(Vertices[Eigenvector Centrality],"&gt;="&amp;P40)</f>
        <v>0</v>
      </c>
      <c r="R39" s="79"/>
      <c r="S39" s="81">
        <f>COUNTIF(Vertices[Clustering Coefficient],"&gt;= "&amp;R39)-COUNTIF(Vertices[Clustering Coefficient],"&gt;="&amp;R40)</f>
        <v>-3</v>
      </c>
      <c r="T39" s="79"/>
      <c r="U39" s="80">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0.9454545454545457</v>
      </c>
      <c r="G40" s="40">
        <f>COUNTIF(Vertices[In-Degree],"&gt;= "&amp;F40)-COUNTIF(Vertices[In-Degree],"&gt;="&amp;F41)</f>
        <v>0</v>
      </c>
      <c r="H40" s="39">
        <f>H28+($H$57-$H$2)/BinDivisor</f>
        <v>0.9454545454545457</v>
      </c>
      <c r="I40" s="40">
        <f>COUNTIF(Vertices[Out-Degree],"&gt;= "&amp;H40)-COUNTIF(Vertices[Out-Degree],"&gt;="&amp;H41)</f>
        <v>0</v>
      </c>
      <c r="J40" s="39">
        <f>J28+($J$57-$J$2)/BinDivisor</f>
        <v>0.9454545454545457</v>
      </c>
      <c r="K40" s="40">
        <f>COUNTIF(Vertices[Betweenness Centrality],"&gt;= "&amp;J40)-COUNTIF(Vertices[Betweenness Centrality],"&gt;="&amp;J41)</f>
        <v>0</v>
      </c>
      <c r="L40" s="39">
        <f>L28+($L$57-$L$2)/BinDivisor</f>
        <v>0.41212103636363573</v>
      </c>
      <c r="M40" s="40">
        <f>COUNTIF(Vertices[Closeness Centrality],"&gt;= "&amp;L40)-COUNTIF(Vertices[Closeness Centrality],"&gt;="&amp;L41)</f>
        <v>0</v>
      </c>
      <c r="N40" s="39">
        <f>N28+($N$57-$N$2)/BinDivisor</f>
        <v>0.31481670909090886</v>
      </c>
      <c r="O40" s="40">
        <f>COUNTIF(Vertices[Eigenvector Centrality],"&gt;= "&amp;N40)-COUNTIF(Vertices[Eigenvector Centrality],"&gt;="&amp;N41)</f>
        <v>0</v>
      </c>
      <c r="P40" s="39">
        <f>P28+($P$57-$P$2)/BinDivisor</f>
        <v>0.9126051818181826</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0.981818181818182</v>
      </c>
      <c r="G41" s="42">
        <f>COUNTIF(Vertices[In-Degree],"&gt;= "&amp;F41)-COUNTIF(Vertices[In-Degree],"&gt;="&amp;F42)</f>
        <v>1</v>
      </c>
      <c r="H41" s="41">
        <f aca="true" t="shared" si="12" ref="H41:H56">H40+($H$57-$H$2)/BinDivisor</f>
        <v>0.981818181818182</v>
      </c>
      <c r="I41" s="42">
        <f>COUNTIF(Vertices[Out-Degree],"&gt;= "&amp;H41)-COUNTIF(Vertices[Out-Degree],"&gt;="&amp;H42)</f>
        <v>1</v>
      </c>
      <c r="J41" s="41">
        <f aca="true" t="shared" si="13" ref="J41:J56">J40+($J$57-$J$2)/BinDivisor</f>
        <v>0.981818181818182</v>
      </c>
      <c r="K41" s="42">
        <f>COUNTIF(Vertices[Betweenness Centrality],"&gt;= "&amp;J41)-COUNTIF(Vertices[Betweenness Centrality],"&gt;="&amp;J42)</f>
        <v>0</v>
      </c>
      <c r="L41" s="41">
        <f aca="true" t="shared" si="14" ref="L41:L56">L40+($L$57-$L$2)/BinDivisor</f>
        <v>0.4151513454545448</v>
      </c>
      <c r="M41" s="42">
        <f>COUNTIF(Vertices[Closeness Centrality],"&gt;= "&amp;L41)-COUNTIF(Vertices[Closeness Centrality],"&gt;="&amp;L42)</f>
        <v>0</v>
      </c>
      <c r="N41" s="41">
        <f aca="true" t="shared" si="15" ref="N41:N56">N40+($N$57-$N$2)/BinDivisor</f>
        <v>0.3193072363636361</v>
      </c>
      <c r="O41" s="42">
        <f>COUNTIF(Vertices[Eigenvector Centrality],"&gt;= "&amp;N41)-COUNTIF(Vertices[Eigenvector Centrality],"&gt;="&amp;N42)</f>
        <v>0</v>
      </c>
      <c r="P41" s="41">
        <f aca="true" t="shared" si="16" ref="P41:P56">P40+($P$57-$P$2)/BinDivisor</f>
        <v>0.9223837272727281</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1.0181818181818183</v>
      </c>
      <c r="G42" s="40">
        <f>COUNTIF(Vertices[In-Degree],"&gt;= "&amp;F42)-COUNTIF(Vertices[In-Degree],"&gt;="&amp;F43)</f>
        <v>0</v>
      </c>
      <c r="H42" s="39">
        <f t="shared" si="12"/>
        <v>1.0181818181818183</v>
      </c>
      <c r="I42" s="40">
        <f>COUNTIF(Vertices[Out-Degree],"&gt;= "&amp;H42)-COUNTIF(Vertices[Out-Degree],"&gt;="&amp;H43)</f>
        <v>0</v>
      </c>
      <c r="J42" s="39">
        <f t="shared" si="13"/>
        <v>1.0181818181818183</v>
      </c>
      <c r="K42" s="40">
        <f>COUNTIF(Vertices[Betweenness Centrality],"&gt;= "&amp;J42)-COUNTIF(Vertices[Betweenness Centrality],"&gt;="&amp;J43)</f>
        <v>0</v>
      </c>
      <c r="L42" s="39">
        <f t="shared" si="14"/>
        <v>0.41818165454545386</v>
      </c>
      <c r="M42" s="40">
        <f>COUNTIF(Vertices[Closeness Centrality],"&gt;= "&amp;L42)-COUNTIF(Vertices[Closeness Centrality],"&gt;="&amp;L43)</f>
        <v>0</v>
      </c>
      <c r="N42" s="39">
        <f t="shared" si="15"/>
        <v>0.32379776363636337</v>
      </c>
      <c r="O42" s="40">
        <f>COUNTIF(Vertices[Eigenvector Centrality],"&gt;= "&amp;N42)-COUNTIF(Vertices[Eigenvector Centrality],"&gt;="&amp;N43)</f>
        <v>0</v>
      </c>
      <c r="P42" s="39">
        <f t="shared" si="16"/>
        <v>0.9321622727272736</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1.0545454545454547</v>
      </c>
      <c r="G43" s="42">
        <f>COUNTIF(Vertices[In-Degree],"&gt;= "&amp;F43)-COUNTIF(Vertices[In-Degree],"&gt;="&amp;F44)</f>
        <v>0</v>
      </c>
      <c r="H43" s="41">
        <f t="shared" si="12"/>
        <v>1.0545454545454547</v>
      </c>
      <c r="I43" s="42">
        <f>COUNTIF(Vertices[Out-Degree],"&gt;= "&amp;H43)-COUNTIF(Vertices[Out-Degree],"&gt;="&amp;H44)</f>
        <v>0</v>
      </c>
      <c r="J43" s="41">
        <f t="shared" si="13"/>
        <v>1.0545454545454547</v>
      </c>
      <c r="K43" s="42">
        <f>COUNTIF(Vertices[Betweenness Centrality],"&gt;= "&amp;J43)-COUNTIF(Vertices[Betweenness Centrality],"&gt;="&amp;J44)</f>
        <v>0</v>
      </c>
      <c r="L43" s="41">
        <f t="shared" si="14"/>
        <v>0.42121196363636293</v>
      </c>
      <c r="M43" s="42">
        <f>COUNTIF(Vertices[Closeness Centrality],"&gt;= "&amp;L43)-COUNTIF(Vertices[Closeness Centrality],"&gt;="&amp;L44)</f>
        <v>0</v>
      </c>
      <c r="N43" s="41">
        <f t="shared" si="15"/>
        <v>0.3282882909090906</v>
      </c>
      <c r="O43" s="42">
        <f>COUNTIF(Vertices[Eigenvector Centrality],"&gt;= "&amp;N43)-COUNTIF(Vertices[Eigenvector Centrality],"&gt;="&amp;N44)</f>
        <v>0</v>
      </c>
      <c r="P43" s="41">
        <f t="shared" si="16"/>
        <v>0.9419408181818191</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1.090909090909091</v>
      </c>
      <c r="G44" s="40">
        <f>COUNTIF(Vertices[In-Degree],"&gt;= "&amp;F44)-COUNTIF(Vertices[In-Degree],"&gt;="&amp;F45)</f>
        <v>0</v>
      </c>
      <c r="H44" s="39">
        <f t="shared" si="12"/>
        <v>1.090909090909091</v>
      </c>
      <c r="I44" s="40">
        <f>COUNTIF(Vertices[Out-Degree],"&gt;= "&amp;H44)-COUNTIF(Vertices[Out-Degree],"&gt;="&amp;H45)</f>
        <v>0</v>
      </c>
      <c r="J44" s="39">
        <f t="shared" si="13"/>
        <v>1.090909090909091</v>
      </c>
      <c r="K44" s="40">
        <f>COUNTIF(Vertices[Betweenness Centrality],"&gt;= "&amp;J44)-COUNTIF(Vertices[Betweenness Centrality],"&gt;="&amp;J45)</f>
        <v>0</v>
      </c>
      <c r="L44" s="39">
        <f t="shared" si="14"/>
        <v>0.424242272727272</v>
      </c>
      <c r="M44" s="40">
        <f>COUNTIF(Vertices[Closeness Centrality],"&gt;= "&amp;L44)-COUNTIF(Vertices[Closeness Centrality],"&gt;="&amp;L45)</f>
        <v>0</v>
      </c>
      <c r="N44" s="39">
        <f t="shared" si="15"/>
        <v>0.33277881818181787</v>
      </c>
      <c r="O44" s="40">
        <f>COUNTIF(Vertices[Eigenvector Centrality],"&gt;= "&amp;N44)-COUNTIF(Vertices[Eigenvector Centrality],"&gt;="&amp;N45)</f>
        <v>0</v>
      </c>
      <c r="P44" s="39">
        <f t="shared" si="16"/>
        <v>0.9517193636363646</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1.1272727272727274</v>
      </c>
      <c r="G45" s="42">
        <f>COUNTIF(Vertices[In-Degree],"&gt;= "&amp;F45)-COUNTIF(Vertices[In-Degree],"&gt;="&amp;F46)</f>
        <v>0</v>
      </c>
      <c r="H45" s="41">
        <f t="shared" si="12"/>
        <v>1.1272727272727274</v>
      </c>
      <c r="I45" s="42">
        <f>COUNTIF(Vertices[Out-Degree],"&gt;= "&amp;H45)-COUNTIF(Vertices[Out-Degree],"&gt;="&amp;H46)</f>
        <v>0</v>
      </c>
      <c r="J45" s="41">
        <f t="shared" si="13"/>
        <v>1.1272727272727274</v>
      </c>
      <c r="K45" s="42">
        <f>COUNTIF(Vertices[Betweenness Centrality],"&gt;= "&amp;J45)-COUNTIF(Vertices[Betweenness Centrality],"&gt;="&amp;J46)</f>
        <v>0</v>
      </c>
      <c r="L45" s="41">
        <f t="shared" si="14"/>
        <v>0.42727258181818106</v>
      </c>
      <c r="M45" s="42">
        <f>COUNTIF(Vertices[Closeness Centrality],"&gt;= "&amp;L45)-COUNTIF(Vertices[Closeness Centrality],"&gt;="&amp;L46)</f>
        <v>0</v>
      </c>
      <c r="N45" s="41">
        <f t="shared" si="15"/>
        <v>0.3372693454545451</v>
      </c>
      <c r="O45" s="42">
        <f>COUNTIF(Vertices[Eigenvector Centrality],"&gt;= "&amp;N45)-COUNTIF(Vertices[Eigenvector Centrality],"&gt;="&amp;N46)</f>
        <v>0</v>
      </c>
      <c r="P45" s="41">
        <f t="shared" si="16"/>
        <v>0.96149790909091</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1.1636363636363638</v>
      </c>
      <c r="G46" s="40">
        <f>COUNTIF(Vertices[In-Degree],"&gt;= "&amp;F46)-COUNTIF(Vertices[In-Degree],"&gt;="&amp;F47)</f>
        <v>0</v>
      </c>
      <c r="H46" s="39">
        <f t="shared" si="12"/>
        <v>1.1636363636363638</v>
      </c>
      <c r="I46" s="40">
        <f>COUNTIF(Vertices[Out-Degree],"&gt;= "&amp;H46)-COUNTIF(Vertices[Out-Degree],"&gt;="&amp;H47)</f>
        <v>0</v>
      </c>
      <c r="J46" s="39">
        <f t="shared" si="13"/>
        <v>1.1636363636363638</v>
      </c>
      <c r="K46" s="40">
        <f>COUNTIF(Vertices[Betweenness Centrality],"&gt;= "&amp;J46)-COUNTIF(Vertices[Betweenness Centrality],"&gt;="&amp;J47)</f>
        <v>0</v>
      </c>
      <c r="L46" s="39">
        <f t="shared" si="14"/>
        <v>0.43030289090909013</v>
      </c>
      <c r="M46" s="40">
        <f>COUNTIF(Vertices[Closeness Centrality],"&gt;= "&amp;L46)-COUNTIF(Vertices[Closeness Centrality],"&gt;="&amp;L47)</f>
        <v>0</v>
      </c>
      <c r="N46" s="39">
        <f t="shared" si="15"/>
        <v>0.3417598727272724</v>
      </c>
      <c r="O46" s="40">
        <f>COUNTIF(Vertices[Eigenvector Centrality],"&gt;= "&amp;N46)-COUNTIF(Vertices[Eigenvector Centrality],"&gt;="&amp;N47)</f>
        <v>0</v>
      </c>
      <c r="P46" s="39">
        <f t="shared" si="16"/>
        <v>0.9712764545454555</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1.2000000000000002</v>
      </c>
      <c r="G47" s="42">
        <f>COUNTIF(Vertices[In-Degree],"&gt;= "&amp;F47)-COUNTIF(Vertices[In-Degree],"&gt;="&amp;F48)</f>
        <v>0</v>
      </c>
      <c r="H47" s="41">
        <f t="shared" si="12"/>
        <v>1.2000000000000002</v>
      </c>
      <c r="I47" s="42">
        <f>COUNTIF(Vertices[Out-Degree],"&gt;= "&amp;H47)-COUNTIF(Vertices[Out-Degree],"&gt;="&amp;H48)</f>
        <v>0</v>
      </c>
      <c r="J47" s="41">
        <f t="shared" si="13"/>
        <v>1.2000000000000002</v>
      </c>
      <c r="K47" s="42">
        <f>COUNTIF(Vertices[Betweenness Centrality],"&gt;= "&amp;J47)-COUNTIF(Vertices[Betweenness Centrality],"&gt;="&amp;J48)</f>
        <v>0</v>
      </c>
      <c r="L47" s="41">
        <f t="shared" si="14"/>
        <v>0.4333331999999992</v>
      </c>
      <c r="M47" s="42">
        <f>COUNTIF(Vertices[Closeness Centrality],"&gt;= "&amp;L47)-COUNTIF(Vertices[Closeness Centrality],"&gt;="&amp;L48)</f>
        <v>0</v>
      </c>
      <c r="N47" s="41">
        <f t="shared" si="15"/>
        <v>0.3462503999999996</v>
      </c>
      <c r="O47" s="42">
        <f>COUNTIF(Vertices[Eigenvector Centrality],"&gt;= "&amp;N47)-COUNTIF(Vertices[Eigenvector Centrality],"&gt;="&amp;N48)</f>
        <v>0</v>
      </c>
      <c r="P47" s="41">
        <f t="shared" si="16"/>
        <v>0.981055000000001</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1.2363636363636366</v>
      </c>
      <c r="G48" s="40">
        <f>COUNTIF(Vertices[In-Degree],"&gt;= "&amp;F48)-COUNTIF(Vertices[In-Degree],"&gt;="&amp;F49)</f>
        <v>0</v>
      </c>
      <c r="H48" s="39">
        <f t="shared" si="12"/>
        <v>1.2363636363636366</v>
      </c>
      <c r="I48" s="40">
        <f>COUNTIF(Vertices[Out-Degree],"&gt;= "&amp;H48)-COUNTIF(Vertices[Out-Degree],"&gt;="&amp;H49)</f>
        <v>0</v>
      </c>
      <c r="J48" s="39">
        <f t="shared" si="13"/>
        <v>1.2363636363636366</v>
      </c>
      <c r="K48" s="40">
        <f>COUNTIF(Vertices[Betweenness Centrality],"&gt;= "&amp;J48)-COUNTIF(Vertices[Betweenness Centrality],"&gt;="&amp;J49)</f>
        <v>0</v>
      </c>
      <c r="L48" s="39">
        <f t="shared" si="14"/>
        <v>0.43636350909090826</v>
      </c>
      <c r="M48" s="40">
        <f>COUNTIF(Vertices[Closeness Centrality],"&gt;= "&amp;L48)-COUNTIF(Vertices[Closeness Centrality],"&gt;="&amp;L49)</f>
        <v>0</v>
      </c>
      <c r="N48" s="39">
        <f t="shared" si="15"/>
        <v>0.3507409272727269</v>
      </c>
      <c r="O48" s="40">
        <f>COUNTIF(Vertices[Eigenvector Centrality],"&gt;= "&amp;N48)-COUNTIF(Vertices[Eigenvector Centrality],"&gt;="&amp;N49)</f>
        <v>0</v>
      </c>
      <c r="P48" s="39">
        <f t="shared" si="16"/>
        <v>0.9908335454545465</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1.272727272727273</v>
      </c>
      <c r="G49" s="42">
        <f>COUNTIF(Vertices[In-Degree],"&gt;= "&amp;F49)-COUNTIF(Vertices[In-Degree],"&gt;="&amp;F50)</f>
        <v>0</v>
      </c>
      <c r="H49" s="41">
        <f t="shared" si="12"/>
        <v>1.272727272727273</v>
      </c>
      <c r="I49" s="42">
        <f>COUNTIF(Vertices[Out-Degree],"&gt;= "&amp;H49)-COUNTIF(Vertices[Out-Degree],"&gt;="&amp;H50)</f>
        <v>0</v>
      </c>
      <c r="J49" s="41">
        <f t="shared" si="13"/>
        <v>1.272727272727273</v>
      </c>
      <c r="K49" s="42">
        <f>COUNTIF(Vertices[Betweenness Centrality],"&gt;= "&amp;J49)-COUNTIF(Vertices[Betweenness Centrality],"&gt;="&amp;J50)</f>
        <v>0</v>
      </c>
      <c r="L49" s="41">
        <f t="shared" si="14"/>
        <v>0.43939381818181733</v>
      </c>
      <c r="M49" s="42">
        <f>COUNTIF(Vertices[Closeness Centrality],"&gt;= "&amp;L49)-COUNTIF(Vertices[Closeness Centrality],"&gt;="&amp;L50)</f>
        <v>0</v>
      </c>
      <c r="N49" s="41">
        <f t="shared" si="15"/>
        <v>0.35523145454545413</v>
      </c>
      <c r="O49" s="42">
        <f>COUNTIF(Vertices[Eigenvector Centrality],"&gt;= "&amp;N49)-COUNTIF(Vertices[Eigenvector Centrality],"&gt;="&amp;N50)</f>
        <v>1</v>
      </c>
      <c r="P49" s="41">
        <f t="shared" si="16"/>
        <v>1.0006120909090919</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1.3090909090909093</v>
      </c>
      <c r="G50" s="40">
        <f>COUNTIF(Vertices[In-Degree],"&gt;= "&amp;F50)-COUNTIF(Vertices[In-Degree],"&gt;="&amp;F51)</f>
        <v>0</v>
      </c>
      <c r="H50" s="39">
        <f t="shared" si="12"/>
        <v>1.3090909090909093</v>
      </c>
      <c r="I50" s="40">
        <f>COUNTIF(Vertices[Out-Degree],"&gt;= "&amp;H50)-COUNTIF(Vertices[Out-Degree],"&gt;="&amp;H51)</f>
        <v>0</v>
      </c>
      <c r="J50" s="39">
        <f t="shared" si="13"/>
        <v>1.3090909090909093</v>
      </c>
      <c r="K50" s="40">
        <f>COUNTIF(Vertices[Betweenness Centrality],"&gt;= "&amp;J50)-COUNTIF(Vertices[Betweenness Centrality],"&gt;="&amp;J51)</f>
        <v>0</v>
      </c>
      <c r="L50" s="39">
        <f t="shared" si="14"/>
        <v>0.4424241272727264</v>
      </c>
      <c r="M50" s="40">
        <f>COUNTIF(Vertices[Closeness Centrality],"&gt;= "&amp;L50)-COUNTIF(Vertices[Closeness Centrality],"&gt;="&amp;L51)</f>
        <v>0</v>
      </c>
      <c r="N50" s="39">
        <f t="shared" si="15"/>
        <v>0.3597219818181814</v>
      </c>
      <c r="O50" s="40">
        <f>COUNTIF(Vertices[Eigenvector Centrality],"&gt;= "&amp;N50)-COUNTIF(Vertices[Eigenvector Centrality],"&gt;="&amp;N51)</f>
        <v>0</v>
      </c>
      <c r="P50" s="39">
        <f t="shared" si="16"/>
        <v>1.0103906363636372</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1.3454545454545457</v>
      </c>
      <c r="G51" s="42">
        <f>COUNTIF(Vertices[In-Degree],"&gt;= "&amp;F51)-COUNTIF(Vertices[In-Degree],"&gt;="&amp;F52)</f>
        <v>0</v>
      </c>
      <c r="H51" s="41">
        <f t="shared" si="12"/>
        <v>1.3454545454545457</v>
      </c>
      <c r="I51" s="42">
        <f>COUNTIF(Vertices[Out-Degree],"&gt;= "&amp;H51)-COUNTIF(Vertices[Out-Degree],"&gt;="&amp;H52)</f>
        <v>0</v>
      </c>
      <c r="J51" s="41">
        <f t="shared" si="13"/>
        <v>1.3454545454545457</v>
      </c>
      <c r="K51" s="42">
        <f>COUNTIF(Vertices[Betweenness Centrality],"&gt;= "&amp;J51)-COUNTIF(Vertices[Betweenness Centrality],"&gt;="&amp;J52)</f>
        <v>0</v>
      </c>
      <c r="L51" s="41">
        <f t="shared" si="14"/>
        <v>0.44545443636363546</v>
      </c>
      <c r="M51" s="42">
        <f>COUNTIF(Vertices[Closeness Centrality],"&gt;= "&amp;L51)-COUNTIF(Vertices[Closeness Centrality],"&gt;="&amp;L52)</f>
        <v>0</v>
      </c>
      <c r="N51" s="41">
        <f t="shared" si="15"/>
        <v>0.36421250909090863</v>
      </c>
      <c r="O51" s="42">
        <f>COUNTIF(Vertices[Eigenvector Centrality],"&gt;= "&amp;N51)-COUNTIF(Vertices[Eigenvector Centrality],"&gt;="&amp;N52)</f>
        <v>0</v>
      </c>
      <c r="P51" s="41">
        <f t="shared" si="16"/>
        <v>1.0201691818181826</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1.381818181818182</v>
      </c>
      <c r="G52" s="40">
        <f>COUNTIF(Vertices[In-Degree],"&gt;= "&amp;F52)-COUNTIF(Vertices[In-Degree],"&gt;="&amp;F53)</f>
        <v>0</v>
      </c>
      <c r="H52" s="39">
        <f t="shared" si="12"/>
        <v>1.381818181818182</v>
      </c>
      <c r="I52" s="40">
        <f>COUNTIF(Vertices[Out-Degree],"&gt;= "&amp;H52)-COUNTIF(Vertices[Out-Degree],"&gt;="&amp;H53)</f>
        <v>0</v>
      </c>
      <c r="J52" s="39">
        <f t="shared" si="13"/>
        <v>1.381818181818182</v>
      </c>
      <c r="K52" s="40">
        <f>COUNTIF(Vertices[Betweenness Centrality],"&gt;= "&amp;J52)-COUNTIF(Vertices[Betweenness Centrality],"&gt;="&amp;J53)</f>
        <v>0</v>
      </c>
      <c r="L52" s="39">
        <f t="shared" si="14"/>
        <v>0.44848474545454453</v>
      </c>
      <c r="M52" s="40">
        <f>COUNTIF(Vertices[Closeness Centrality],"&gt;= "&amp;L52)-COUNTIF(Vertices[Closeness Centrality],"&gt;="&amp;L53)</f>
        <v>0</v>
      </c>
      <c r="N52" s="39">
        <f t="shared" si="15"/>
        <v>0.3687030363636359</v>
      </c>
      <c r="O52" s="40">
        <f>COUNTIF(Vertices[Eigenvector Centrality],"&gt;= "&amp;N52)-COUNTIF(Vertices[Eigenvector Centrality],"&gt;="&amp;N53)</f>
        <v>0</v>
      </c>
      <c r="P52" s="39">
        <f t="shared" si="16"/>
        <v>1.029947727272728</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1.4181818181818184</v>
      </c>
      <c r="G53" s="42">
        <f>COUNTIF(Vertices[In-Degree],"&gt;= "&amp;F53)-COUNTIF(Vertices[In-Degree],"&gt;="&amp;F54)</f>
        <v>0</v>
      </c>
      <c r="H53" s="41">
        <f t="shared" si="12"/>
        <v>1.4181818181818184</v>
      </c>
      <c r="I53" s="42">
        <f>COUNTIF(Vertices[Out-Degree],"&gt;= "&amp;H53)-COUNTIF(Vertices[Out-Degree],"&gt;="&amp;H54)</f>
        <v>0</v>
      </c>
      <c r="J53" s="41">
        <f t="shared" si="13"/>
        <v>1.4181818181818184</v>
      </c>
      <c r="K53" s="42">
        <f>COUNTIF(Vertices[Betweenness Centrality],"&gt;= "&amp;J53)-COUNTIF(Vertices[Betweenness Centrality],"&gt;="&amp;J54)</f>
        <v>0</v>
      </c>
      <c r="L53" s="41">
        <f t="shared" si="14"/>
        <v>0.4515150545454536</v>
      </c>
      <c r="M53" s="42">
        <f>COUNTIF(Vertices[Closeness Centrality],"&gt;= "&amp;L53)-COUNTIF(Vertices[Closeness Centrality],"&gt;="&amp;L54)</f>
        <v>0</v>
      </c>
      <c r="N53" s="41">
        <f t="shared" si="15"/>
        <v>0.37319356363636313</v>
      </c>
      <c r="O53" s="42">
        <f>COUNTIF(Vertices[Eigenvector Centrality],"&gt;= "&amp;N53)-COUNTIF(Vertices[Eigenvector Centrality],"&gt;="&amp;N54)</f>
        <v>0</v>
      </c>
      <c r="P53" s="41">
        <f t="shared" si="16"/>
        <v>1.0397262727272734</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1.4545454545454548</v>
      </c>
      <c r="G54" s="40">
        <f>COUNTIF(Vertices[In-Degree],"&gt;= "&amp;F54)-COUNTIF(Vertices[In-Degree],"&gt;="&amp;F55)</f>
        <v>0</v>
      </c>
      <c r="H54" s="39">
        <f t="shared" si="12"/>
        <v>1.4545454545454548</v>
      </c>
      <c r="I54" s="40">
        <f>COUNTIF(Vertices[Out-Degree],"&gt;= "&amp;H54)-COUNTIF(Vertices[Out-Degree],"&gt;="&amp;H55)</f>
        <v>0</v>
      </c>
      <c r="J54" s="39">
        <f t="shared" si="13"/>
        <v>1.4545454545454548</v>
      </c>
      <c r="K54" s="40">
        <f>COUNTIF(Vertices[Betweenness Centrality],"&gt;= "&amp;J54)-COUNTIF(Vertices[Betweenness Centrality],"&gt;="&amp;J55)</f>
        <v>0</v>
      </c>
      <c r="L54" s="39">
        <f t="shared" si="14"/>
        <v>0.45454536363636266</v>
      </c>
      <c r="M54" s="40">
        <f>COUNTIF(Vertices[Closeness Centrality],"&gt;= "&amp;L54)-COUNTIF(Vertices[Closeness Centrality],"&gt;="&amp;L55)</f>
        <v>0</v>
      </c>
      <c r="N54" s="39">
        <f t="shared" si="15"/>
        <v>0.3776840909090904</v>
      </c>
      <c r="O54" s="40">
        <f>COUNTIF(Vertices[Eigenvector Centrality],"&gt;= "&amp;N54)-COUNTIF(Vertices[Eigenvector Centrality],"&gt;="&amp;N55)</f>
        <v>0</v>
      </c>
      <c r="P54" s="39">
        <f t="shared" si="16"/>
        <v>1.0495048181818187</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1.4909090909090912</v>
      </c>
      <c r="G55" s="42">
        <f>COUNTIF(Vertices[In-Degree],"&gt;= "&amp;F55)-COUNTIF(Vertices[In-Degree],"&gt;="&amp;F56)</f>
        <v>0</v>
      </c>
      <c r="H55" s="41">
        <f t="shared" si="12"/>
        <v>1.4909090909090912</v>
      </c>
      <c r="I55" s="42">
        <f>COUNTIF(Vertices[Out-Degree],"&gt;= "&amp;H55)-COUNTIF(Vertices[Out-Degree],"&gt;="&amp;H56)</f>
        <v>0</v>
      </c>
      <c r="J55" s="41">
        <f t="shared" si="13"/>
        <v>1.4909090909090912</v>
      </c>
      <c r="K55" s="42">
        <f>COUNTIF(Vertices[Betweenness Centrality],"&gt;= "&amp;J55)-COUNTIF(Vertices[Betweenness Centrality],"&gt;="&amp;J56)</f>
        <v>0</v>
      </c>
      <c r="L55" s="41">
        <f t="shared" si="14"/>
        <v>0.45757567272727173</v>
      </c>
      <c r="M55" s="42">
        <f>COUNTIF(Vertices[Closeness Centrality],"&gt;= "&amp;L55)-COUNTIF(Vertices[Closeness Centrality],"&gt;="&amp;L56)</f>
        <v>0</v>
      </c>
      <c r="N55" s="41">
        <f t="shared" si="15"/>
        <v>0.38217461818181764</v>
      </c>
      <c r="O55" s="42">
        <f>COUNTIF(Vertices[Eigenvector Centrality],"&gt;= "&amp;N55)-COUNTIF(Vertices[Eigenvector Centrality],"&gt;="&amp;N56)</f>
        <v>0</v>
      </c>
      <c r="P55" s="41">
        <f t="shared" si="16"/>
        <v>1.059283363636364</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1.5272727272727276</v>
      </c>
      <c r="G56" s="40">
        <f>COUNTIF(Vertices[In-Degree],"&gt;= "&amp;F56)-COUNTIF(Vertices[In-Degree],"&gt;="&amp;F57)</f>
        <v>0</v>
      </c>
      <c r="H56" s="39">
        <f t="shared" si="12"/>
        <v>1.5272727272727276</v>
      </c>
      <c r="I56" s="40">
        <f>COUNTIF(Vertices[Out-Degree],"&gt;= "&amp;H56)-COUNTIF(Vertices[Out-Degree],"&gt;="&amp;H57)</f>
        <v>0</v>
      </c>
      <c r="J56" s="39">
        <f t="shared" si="13"/>
        <v>1.5272727272727276</v>
      </c>
      <c r="K56" s="40">
        <f>COUNTIF(Vertices[Betweenness Centrality],"&gt;= "&amp;J56)-COUNTIF(Vertices[Betweenness Centrality],"&gt;="&amp;J57)</f>
        <v>0</v>
      </c>
      <c r="L56" s="39">
        <f t="shared" si="14"/>
        <v>0.4606059818181808</v>
      </c>
      <c r="M56" s="40">
        <f>COUNTIF(Vertices[Closeness Centrality],"&gt;= "&amp;L56)-COUNTIF(Vertices[Closeness Centrality],"&gt;="&amp;L57)</f>
        <v>0</v>
      </c>
      <c r="N56" s="39">
        <f t="shared" si="15"/>
        <v>0.3866651454545449</v>
      </c>
      <c r="O56" s="40">
        <f>COUNTIF(Vertices[Eigenvector Centrality],"&gt;= "&amp;N56)-COUNTIF(Vertices[Eigenvector Centrality],"&gt;="&amp;N57)</f>
        <v>0</v>
      </c>
      <c r="P56" s="39">
        <f t="shared" si="16"/>
        <v>1.0690619090909095</v>
      </c>
      <c r="Q56" s="40">
        <f>COUNTIF(Vertices[PageRank],"&gt;= "&amp;P56)-COUNTIF(Vertices[PageRank],"&gt;="&amp;P57)</f>
        <v>1</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2</v>
      </c>
      <c r="G57" s="44">
        <f>COUNTIF(Vertices[In-Degree],"&gt;= "&amp;F57)-COUNTIF(Vertices[In-Degree],"&gt;="&amp;F58)</f>
        <v>1</v>
      </c>
      <c r="H57" s="43">
        <f>MAX(Vertices[Out-Degree])</f>
        <v>2</v>
      </c>
      <c r="I57" s="44">
        <f>COUNTIF(Vertices[Out-Degree],"&gt;= "&amp;H57)-COUNTIF(Vertices[Out-Degree],"&gt;="&amp;H58)</f>
        <v>1</v>
      </c>
      <c r="J57" s="43">
        <f>MAX(Vertices[Betweenness Centrality])</f>
        <v>2</v>
      </c>
      <c r="K57" s="44">
        <f>COUNTIF(Vertices[Betweenness Centrality],"&gt;= "&amp;J57)-COUNTIF(Vertices[Betweenness Centrality],"&gt;="&amp;J58)</f>
        <v>1</v>
      </c>
      <c r="L57" s="43">
        <f>MAX(Vertices[Closeness Centrality])</f>
        <v>0.5</v>
      </c>
      <c r="M57" s="44">
        <f>COUNTIF(Vertices[Closeness Centrality],"&gt;= "&amp;L57)-COUNTIF(Vertices[Closeness Centrality],"&gt;="&amp;L58)</f>
        <v>1</v>
      </c>
      <c r="N57" s="43">
        <f>MAX(Vertices[Eigenvector Centrality])</f>
        <v>0.445042</v>
      </c>
      <c r="O57" s="44">
        <f>COUNTIF(Vertices[Eigenvector Centrality],"&gt;= "&amp;N57)-COUNTIF(Vertices[Eigenvector Centrality],"&gt;="&amp;N58)</f>
        <v>1</v>
      </c>
      <c r="P57" s="43">
        <f>MAX(Vertices[PageRank])</f>
        <v>1.196183</v>
      </c>
      <c r="Q57" s="44">
        <f>COUNTIF(Vertices[PageRank],"&gt;= "&amp;P57)-COUNTIF(Vertices[PageRank],"&gt;="&amp;P58)</f>
        <v>1</v>
      </c>
      <c r="R57" s="43">
        <f>MAX(Vertices[Clustering Coefficient])</f>
        <v>0</v>
      </c>
      <c r="S57" s="47">
        <f>COUNTIF(Vertices[Clustering Coefficient],"&gt;= "&amp;R57)-COUNTIF(Vertices[Clustering Coefficient],"&gt;="&amp;R58)</f>
        <v>3</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2</v>
      </c>
    </row>
    <row r="71" spans="1:2" ht="15">
      <c r="A71" s="35" t="s">
        <v>90</v>
      </c>
      <c r="B71" s="49">
        <f>_xlfn.IFERROR(AVERAGE(Vertices[In-Degree]),NoMetricMessage)</f>
        <v>1</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2</v>
      </c>
    </row>
    <row r="85" spans="1:2" ht="15">
      <c r="A85" s="35" t="s">
        <v>96</v>
      </c>
      <c r="B85" s="49">
        <f>_xlfn.IFERROR(AVERAGE(Vertices[Out-Degree]),NoMetricMessage)</f>
        <v>1</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2</v>
      </c>
    </row>
    <row r="99" spans="1:2" ht="15">
      <c r="A99" s="35" t="s">
        <v>102</v>
      </c>
      <c r="B99" s="49">
        <f>_xlfn.IFERROR(AVERAGE(Vertices[Betweenness Centrality]),NoMetricMessage)</f>
        <v>0.6666666666666666</v>
      </c>
    </row>
    <row r="100" spans="1:2" ht="15">
      <c r="A100" s="35" t="s">
        <v>103</v>
      </c>
      <c r="B100" s="49">
        <f>_xlfn.IFERROR(MEDIAN(Vertices[Betweenness Centrality]),NoMetricMessage)</f>
        <v>0</v>
      </c>
    </row>
    <row r="111" spans="1:2" ht="15">
      <c r="A111" s="35" t="s">
        <v>106</v>
      </c>
      <c r="B111" s="49">
        <f>IF(COUNT(Vertices[Closeness Centrality])&gt;0,L2,NoMetricMessage)</f>
        <v>0.333333</v>
      </c>
    </row>
    <row r="112" spans="1:2" ht="15">
      <c r="A112" s="35" t="s">
        <v>107</v>
      </c>
      <c r="B112" s="49">
        <f>IF(COUNT(Vertices[Closeness Centrality])&gt;0,L57,NoMetricMessage)</f>
        <v>0.5</v>
      </c>
    </row>
    <row r="113" spans="1:2" ht="15">
      <c r="A113" s="35" t="s">
        <v>108</v>
      </c>
      <c r="B113" s="49">
        <f>_xlfn.IFERROR(AVERAGE(Vertices[Closeness Centrality]),NoMetricMessage)</f>
        <v>0.38888866666666666</v>
      </c>
    </row>
    <row r="114" spans="1:2" ht="15">
      <c r="A114" s="35" t="s">
        <v>109</v>
      </c>
      <c r="B114" s="49">
        <f>_xlfn.IFERROR(MEDIAN(Vertices[Closeness Centrality]),NoMetricMessage)</f>
        <v>0.333333</v>
      </c>
    </row>
    <row r="125" spans="1:2" ht="15">
      <c r="A125" s="35" t="s">
        <v>112</v>
      </c>
      <c r="B125" s="49">
        <f>IF(COUNT(Vertices[Eigenvector Centrality])&gt;0,N2,NoMetricMessage)</f>
        <v>0.198063</v>
      </c>
    </row>
    <row r="126" spans="1:2" ht="15">
      <c r="A126" s="35" t="s">
        <v>113</v>
      </c>
      <c r="B126" s="49">
        <f>IF(COUNT(Vertices[Eigenvector Centrality])&gt;0,N57,NoMetricMessage)</f>
        <v>0.445042</v>
      </c>
    </row>
    <row r="127" spans="1:2" ht="15">
      <c r="A127" s="35" t="s">
        <v>114</v>
      </c>
      <c r="B127" s="49">
        <f>_xlfn.IFERROR(AVERAGE(Vertices[Eigenvector Centrality]),NoMetricMessage)</f>
        <v>0.3333333333333333</v>
      </c>
    </row>
    <row r="128" spans="1:2" ht="15">
      <c r="A128" s="35" t="s">
        <v>115</v>
      </c>
      <c r="B128" s="49">
        <f>_xlfn.IFERROR(MEDIAN(Vertices[Eigenvector Centrality]),NoMetricMessage)</f>
        <v>0.356895</v>
      </c>
    </row>
    <row r="139" spans="1:2" ht="15">
      <c r="A139" s="35" t="s">
        <v>140</v>
      </c>
      <c r="B139" s="49">
        <f>IF(COUNT(Vertices[PageRank])&gt;0,P2,NoMetricMessage)</f>
        <v>0.658363</v>
      </c>
    </row>
    <row r="140" spans="1:2" ht="15">
      <c r="A140" s="35" t="s">
        <v>141</v>
      </c>
      <c r="B140" s="49">
        <f>IF(COUNT(Vertices[PageRank])&gt;0,P57,NoMetricMessage)</f>
        <v>1.196183</v>
      </c>
    </row>
    <row r="141" spans="1:2" ht="15">
      <c r="A141" s="35" t="s">
        <v>142</v>
      </c>
      <c r="B141" s="49">
        <f>_xlfn.IFERROR(AVERAGE(Vertices[PageRank]),NoMetricMessage)</f>
        <v>0.9998326666666667</v>
      </c>
    </row>
    <row r="142" spans="1:2" ht="15">
      <c r="A142" s="35" t="s">
        <v>143</v>
      </c>
      <c r="B142" s="49">
        <f>_xlfn.IFERROR(MEDIAN(Vertices[PageRank]),NoMetricMessage)</f>
        <v>1.144952</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295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296</v>
      </c>
      <c r="K7" s="13" t="s">
        <v>297</v>
      </c>
    </row>
    <row r="8" spans="1:11" ht="409.5">
      <c r="A8"/>
      <c r="B8">
        <v>2</v>
      </c>
      <c r="C8">
        <v>2</v>
      </c>
      <c r="D8" t="s">
        <v>61</v>
      </c>
      <c r="E8" t="s">
        <v>61</v>
      </c>
      <c r="H8" t="s">
        <v>73</v>
      </c>
      <c r="J8" t="s">
        <v>298</v>
      </c>
      <c r="K8" s="13" t="s">
        <v>299</v>
      </c>
    </row>
    <row r="9" spans="1:11" ht="409.5">
      <c r="A9"/>
      <c r="B9">
        <v>3</v>
      </c>
      <c r="C9">
        <v>4</v>
      </c>
      <c r="D9" t="s">
        <v>62</v>
      </c>
      <c r="E9" t="s">
        <v>62</v>
      </c>
      <c r="H9" t="s">
        <v>74</v>
      </c>
      <c r="J9" t="s">
        <v>300</v>
      </c>
      <c r="K9" s="13" t="s">
        <v>301</v>
      </c>
    </row>
    <row r="10" spans="1:11" ht="409.5">
      <c r="A10"/>
      <c r="B10">
        <v>4</v>
      </c>
      <c r="D10" t="s">
        <v>63</v>
      </c>
      <c r="E10" t="s">
        <v>63</v>
      </c>
      <c r="H10" t="s">
        <v>75</v>
      </c>
      <c r="J10" t="s">
        <v>302</v>
      </c>
      <c r="K10" s="13" t="s">
        <v>303</v>
      </c>
    </row>
    <row r="11" spans="1:11" ht="15">
      <c r="A11"/>
      <c r="B11">
        <v>5</v>
      </c>
      <c r="D11" t="s">
        <v>46</v>
      </c>
      <c r="E11">
        <v>1</v>
      </c>
      <c r="H11" t="s">
        <v>76</v>
      </c>
      <c r="J11" t="s">
        <v>304</v>
      </c>
      <c r="K11" t="s">
        <v>305</v>
      </c>
    </row>
    <row r="12" spans="1:11" ht="15">
      <c r="A12"/>
      <c r="B12"/>
      <c r="D12" t="s">
        <v>64</v>
      </c>
      <c r="E12">
        <v>2</v>
      </c>
      <c r="H12">
        <v>0</v>
      </c>
      <c r="J12" t="s">
        <v>306</v>
      </c>
      <c r="K12" t="s">
        <v>307</v>
      </c>
    </row>
    <row r="13" spans="1:11" ht="15">
      <c r="A13"/>
      <c r="B13"/>
      <c r="D13">
        <v>1</v>
      </c>
      <c r="E13">
        <v>3</v>
      </c>
      <c r="H13">
        <v>1</v>
      </c>
      <c r="J13" t="s">
        <v>308</v>
      </c>
      <c r="K13" t="s">
        <v>309</v>
      </c>
    </row>
    <row r="14" spans="4:11" ht="15">
      <c r="D14">
        <v>2</v>
      </c>
      <c r="E14">
        <v>4</v>
      </c>
      <c r="H14">
        <v>2</v>
      </c>
      <c r="J14" t="s">
        <v>310</v>
      </c>
      <c r="K14" t="s">
        <v>311</v>
      </c>
    </row>
    <row r="15" spans="4:11" ht="15">
      <c r="D15">
        <v>3</v>
      </c>
      <c r="E15">
        <v>5</v>
      </c>
      <c r="H15">
        <v>3</v>
      </c>
      <c r="J15" t="s">
        <v>312</v>
      </c>
      <c r="K15" t="s">
        <v>313</v>
      </c>
    </row>
    <row r="16" spans="4:11" ht="15">
      <c r="D16">
        <v>4</v>
      </c>
      <c r="E16">
        <v>6</v>
      </c>
      <c r="H16">
        <v>4</v>
      </c>
      <c r="J16" t="s">
        <v>314</v>
      </c>
      <c r="K16" t="s">
        <v>315</v>
      </c>
    </row>
    <row r="17" spans="4:11" ht="15">
      <c r="D17">
        <v>5</v>
      </c>
      <c r="E17">
        <v>7</v>
      </c>
      <c r="H17">
        <v>5</v>
      </c>
      <c r="J17" t="s">
        <v>316</v>
      </c>
      <c r="K17" t="s">
        <v>317</v>
      </c>
    </row>
    <row r="18" spans="4:11" ht="15">
      <c r="D18">
        <v>6</v>
      </c>
      <c r="E18">
        <v>8</v>
      </c>
      <c r="H18">
        <v>6</v>
      </c>
      <c r="J18" t="s">
        <v>318</v>
      </c>
      <c r="K18" t="s">
        <v>319</v>
      </c>
    </row>
    <row r="19" spans="4:11" ht="15">
      <c r="D19">
        <v>7</v>
      </c>
      <c r="E19">
        <v>9</v>
      </c>
      <c r="H19">
        <v>7</v>
      </c>
      <c r="J19" t="s">
        <v>320</v>
      </c>
      <c r="K19" t="s">
        <v>321</v>
      </c>
    </row>
    <row r="20" spans="4:11" ht="15">
      <c r="D20">
        <v>8</v>
      </c>
      <c r="H20">
        <v>8</v>
      </c>
      <c r="J20" t="s">
        <v>322</v>
      </c>
      <c r="K20" t="s">
        <v>323</v>
      </c>
    </row>
    <row r="21" spans="4:11" ht="409.5">
      <c r="D21">
        <v>9</v>
      </c>
      <c r="H21">
        <v>9</v>
      </c>
      <c r="J21" t="s">
        <v>324</v>
      </c>
      <c r="K21" s="13" t="s">
        <v>325</v>
      </c>
    </row>
    <row r="22" spans="4:11" ht="409.5">
      <c r="D22">
        <v>10</v>
      </c>
      <c r="J22" t="s">
        <v>326</v>
      </c>
      <c r="K22" s="13" t="s">
        <v>327</v>
      </c>
    </row>
    <row r="23" spans="4:11" ht="409.5">
      <c r="D23">
        <v>11</v>
      </c>
      <c r="J23" t="s">
        <v>328</v>
      </c>
      <c r="K23" s="13" t="s">
        <v>329</v>
      </c>
    </row>
    <row r="24" spans="10:11" ht="409.5">
      <c r="J24" t="s">
        <v>330</v>
      </c>
      <c r="K24" s="13" t="s">
        <v>449</v>
      </c>
    </row>
    <row r="25" spans="10:11" ht="15">
      <c r="J25" t="s">
        <v>331</v>
      </c>
      <c r="K25" t="b">
        <v>0</v>
      </c>
    </row>
    <row r="26" spans="10:11" ht="15">
      <c r="J26" t="s">
        <v>447</v>
      </c>
      <c r="K26" t="s">
        <v>448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338</v>
      </c>
      <c r="B1" s="13" t="s">
        <v>339</v>
      </c>
      <c r="C1" s="13" t="s">
        <v>340</v>
      </c>
      <c r="D1" s="13" t="s">
        <v>341</v>
      </c>
    </row>
    <row r="2" spans="1:4" ht="15">
      <c r="A2" s="90" t="s">
        <v>221</v>
      </c>
      <c r="B2" s="86">
        <v>1</v>
      </c>
      <c r="C2" s="90" t="s">
        <v>221</v>
      </c>
      <c r="D2" s="86">
        <v>1</v>
      </c>
    </row>
    <row r="3" spans="1:4" ht="15">
      <c r="A3" s="90" t="s">
        <v>220</v>
      </c>
      <c r="B3" s="86">
        <v>1</v>
      </c>
      <c r="C3" s="90" t="s">
        <v>220</v>
      </c>
      <c r="D3" s="86">
        <v>1</v>
      </c>
    </row>
    <row r="4" spans="1:4" ht="15">
      <c r="A4" s="90" t="s">
        <v>219</v>
      </c>
      <c r="B4" s="86">
        <v>1</v>
      </c>
      <c r="C4" s="90" t="s">
        <v>219</v>
      </c>
      <c r="D4" s="86">
        <v>1</v>
      </c>
    </row>
    <row r="7" spans="1:4" ht="15" customHeight="1">
      <c r="A7" s="13" t="s">
        <v>344</v>
      </c>
      <c r="B7" s="13" t="s">
        <v>339</v>
      </c>
      <c r="C7" s="13" t="s">
        <v>345</v>
      </c>
      <c r="D7" s="13" t="s">
        <v>341</v>
      </c>
    </row>
    <row r="8" spans="1:4" ht="15">
      <c r="A8" s="86" t="s">
        <v>224</v>
      </c>
      <c r="B8" s="86">
        <v>1</v>
      </c>
      <c r="C8" s="86" t="s">
        <v>224</v>
      </c>
      <c r="D8" s="86">
        <v>1</v>
      </c>
    </row>
    <row r="9" spans="1:4" ht="15">
      <c r="A9" s="86" t="s">
        <v>223</v>
      </c>
      <c r="B9" s="86">
        <v>1</v>
      </c>
      <c r="C9" s="86" t="s">
        <v>223</v>
      </c>
      <c r="D9" s="86">
        <v>1</v>
      </c>
    </row>
    <row r="10" spans="1:4" ht="15">
      <c r="A10" s="86" t="s">
        <v>222</v>
      </c>
      <c r="B10" s="86">
        <v>1</v>
      </c>
      <c r="C10" s="86" t="s">
        <v>222</v>
      </c>
      <c r="D10" s="86">
        <v>1</v>
      </c>
    </row>
    <row r="13" spans="1:4" ht="15" customHeight="1">
      <c r="A13" s="13" t="s">
        <v>348</v>
      </c>
      <c r="B13" s="13" t="s">
        <v>339</v>
      </c>
      <c r="C13" s="13" t="s">
        <v>349</v>
      </c>
      <c r="D13" s="13" t="s">
        <v>341</v>
      </c>
    </row>
    <row r="14" spans="1:4" ht="15">
      <c r="A14" s="86" t="s">
        <v>226</v>
      </c>
      <c r="B14" s="86">
        <v>1</v>
      </c>
      <c r="C14" s="86" t="s">
        <v>226</v>
      </c>
      <c r="D14" s="86">
        <v>1</v>
      </c>
    </row>
    <row r="15" spans="1:4" ht="15">
      <c r="A15" s="86" t="s">
        <v>225</v>
      </c>
      <c r="B15" s="86">
        <v>1</v>
      </c>
      <c r="C15" s="86" t="s">
        <v>225</v>
      </c>
      <c r="D15" s="86">
        <v>1</v>
      </c>
    </row>
    <row r="18" spans="1:4" ht="15" customHeight="1">
      <c r="A18" s="13" t="s">
        <v>352</v>
      </c>
      <c r="B18" s="13" t="s">
        <v>339</v>
      </c>
      <c r="C18" s="13" t="s">
        <v>360</v>
      </c>
      <c r="D18" s="13" t="s">
        <v>341</v>
      </c>
    </row>
    <row r="19" spans="1:4" ht="15">
      <c r="A19" s="92" t="s">
        <v>353</v>
      </c>
      <c r="B19" s="92">
        <v>4</v>
      </c>
      <c r="C19" s="92" t="s">
        <v>358</v>
      </c>
      <c r="D19" s="92">
        <v>3</v>
      </c>
    </row>
    <row r="20" spans="1:4" ht="15">
      <c r="A20" s="92" t="s">
        <v>354</v>
      </c>
      <c r="B20" s="92">
        <v>0</v>
      </c>
      <c r="C20" s="92" t="s">
        <v>359</v>
      </c>
      <c r="D20" s="92">
        <v>2</v>
      </c>
    </row>
    <row r="21" spans="1:4" ht="15">
      <c r="A21" s="92" t="s">
        <v>355</v>
      </c>
      <c r="B21" s="92">
        <v>0</v>
      </c>
      <c r="C21" s="92"/>
      <c r="D21" s="92"/>
    </row>
    <row r="22" spans="1:4" ht="15">
      <c r="A22" s="92" t="s">
        <v>356</v>
      </c>
      <c r="B22" s="92">
        <v>62</v>
      </c>
      <c r="C22" s="92"/>
      <c r="D22" s="92"/>
    </row>
    <row r="23" spans="1:4" ht="15">
      <c r="A23" s="92" t="s">
        <v>357</v>
      </c>
      <c r="B23" s="92">
        <v>66</v>
      </c>
      <c r="C23" s="92"/>
      <c r="D23" s="92"/>
    </row>
    <row r="24" spans="1:4" ht="15">
      <c r="A24" s="92" t="s">
        <v>358</v>
      </c>
      <c r="B24" s="92">
        <v>3</v>
      </c>
      <c r="C24" s="92"/>
      <c r="D24" s="92"/>
    </row>
    <row r="25" spans="1:4" ht="15">
      <c r="A25" s="92" t="s">
        <v>359</v>
      </c>
      <c r="B25" s="92">
        <v>2</v>
      </c>
      <c r="C25" s="92"/>
      <c r="D25" s="92"/>
    </row>
    <row r="28" spans="1:4" ht="15" customHeight="1">
      <c r="A28" s="86" t="s">
        <v>363</v>
      </c>
      <c r="B28" s="86" t="s">
        <v>339</v>
      </c>
      <c r="C28" s="86" t="s">
        <v>364</v>
      </c>
      <c r="D28" s="86" t="s">
        <v>341</v>
      </c>
    </row>
    <row r="29" spans="1:4" ht="15">
      <c r="A29" s="86"/>
      <c r="B29" s="86"/>
      <c r="C29" s="86"/>
      <c r="D29" s="86"/>
    </row>
    <row r="31" spans="1:4" ht="15" customHeight="1">
      <c r="A31" s="86" t="s">
        <v>366</v>
      </c>
      <c r="B31" s="86" t="s">
        <v>339</v>
      </c>
      <c r="C31" s="86" t="s">
        <v>368</v>
      </c>
      <c r="D31" s="86" t="s">
        <v>341</v>
      </c>
    </row>
    <row r="32" spans="1:4" ht="15">
      <c r="A32" s="86"/>
      <c r="B32" s="86"/>
      <c r="C32" s="86"/>
      <c r="D32" s="86"/>
    </row>
    <row r="34" spans="1:4" ht="15" customHeight="1">
      <c r="A34" s="13" t="s">
        <v>367</v>
      </c>
      <c r="B34" s="13" t="s">
        <v>339</v>
      </c>
      <c r="C34" s="13" t="s">
        <v>369</v>
      </c>
      <c r="D34" s="13" t="s">
        <v>341</v>
      </c>
    </row>
    <row r="35" spans="1:4" ht="15">
      <c r="A35" s="86" t="s">
        <v>213</v>
      </c>
      <c r="B35" s="86">
        <v>1</v>
      </c>
      <c r="C35" s="86" t="s">
        <v>213</v>
      </c>
      <c r="D35" s="86">
        <v>1</v>
      </c>
    </row>
    <row r="36" spans="1:4" ht="15">
      <c r="A36" s="86" t="s">
        <v>214</v>
      </c>
      <c r="B36" s="86">
        <v>1</v>
      </c>
      <c r="C36" s="86" t="s">
        <v>214</v>
      </c>
      <c r="D36" s="86">
        <v>1</v>
      </c>
    </row>
    <row r="37" spans="1:4" ht="15">
      <c r="A37" s="86" t="s">
        <v>212</v>
      </c>
      <c r="B37" s="86">
        <v>1</v>
      </c>
      <c r="C37" s="86" t="s">
        <v>212</v>
      </c>
      <c r="D37" s="86">
        <v>1</v>
      </c>
    </row>
    <row r="40" spans="1:4" ht="15" customHeight="1">
      <c r="A40" s="13" t="s">
        <v>373</v>
      </c>
      <c r="B40" s="13" t="s">
        <v>339</v>
      </c>
      <c r="C40" s="13" t="s">
        <v>374</v>
      </c>
      <c r="D40" s="13" t="s">
        <v>341</v>
      </c>
    </row>
    <row r="41" spans="1:4" ht="15">
      <c r="A41" s="117" t="s">
        <v>214</v>
      </c>
      <c r="B41" s="86">
        <v>48846</v>
      </c>
      <c r="C41" s="117" t="s">
        <v>214</v>
      </c>
      <c r="D41" s="86">
        <v>48846</v>
      </c>
    </row>
    <row r="42" spans="1:4" ht="15">
      <c r="A42" s="117" t="s">
        <v>213</v>
      </c>
      <c r="B42" s="86">
        <v>5531</v>
      </c>
      <c r="C42" s="117" t="s">
        <v>213</v>
      </c>
      <c r="D42" s="86">
        <v>5531</v>
      </c>
    </row>
    <row r="43" spans="1:4" ht="15">
      <c r="A43" s="117" t="s">
        <v>212</v>
      </c>
      <c r="B43" s="86">
        <v>4959</v>
      </c>
      <c r="C43" s="117" t="s">
        <v>212</v>
      </c>
      <c r="D43" s="86">
        <v>4959</v>
      </c>
    </row>
  </sheetData>
  <hyperlinks>
    <hyperlink ref="A2" r:id="rId1" display="https://socialdriver.bamboohr.com/jobs/view.php?id=10&amp;utm_source=twitter&amp;utm_medium=o"/>
    <hyperlink ref="A3" r:id="rId2" display="https://twitter.com/RandyDaleDowns/status/1160955325438210048"/>
    <hyperlink ref="A4" r:id="rId3" display="https://www.washingtonblade.com/2019/08/12/2019-best-of-gay-dc-finalist-voting/"/>
    <hyperlink ref="C2" r:id="rId4" display="https://socialdriver.bamboohr.com/jobs/view.php?id=10&amp;utm_source=twitter&amp;utm_medium=o"/>
    <hyperlink ref="C3" r:id="rId5" display="https://twitter.com/RandyDaleDowns/status/1160955325438210048"/>
    <hyperlink ref="C4" r:id="rId6" display="https://www.washingtonblade.com/2019/08/12/2019-best-of-gay-dc-finalist-voting/"/>
  </hyperlinks>
  <printOptions/>
  <pageMargins left="0.7" right="0.7" top="0.75" bottom="0.75" header="0.3" footer="0.3"/>
  <pageSetup orientation="portrait" paperSize="9"/>
  <tableParts>
    <tablePart r:id="rId7"/>
    <tablePart r:id="rId10"/>
    <tablePart r:id="rId12"/>
    <tablePart r:id="rId14"/>
    <tablePart r:id="rId11"/>
    <tablePart r:id="rId13"/>
    <tablePart r:id="rId8"/>
    <tablePart r:id="rId9"/>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393</v>
      </c>
      <c r="B1" s="13" t="s">
        <v>394</v>
      </c>
      <c r="C1" s="13" t="s">
        <v>395</v>
      </c>
      <c r="D1" s="13" t="s">
        <v>144</v>
      </c>
      <c r="E1" s="13" t="s">
        <v>397</v>
      </c>
      <c r="F1" s="13" t="s">
        <v>398</v>
      </c>
      <c r="G1" s="13" t="s">
        <v>399</v>
      </c>
    </row>
    <row r="2" spans="1:7" ht="15">
      <c r="A2" s="86" t="s">
        <v>353</v>
      </c>
      <c r="B2" s="86">
        <v>4</v>
      </c>
      <c r="C2" s="121">
        <v>0.06060606060606061</v>
      </c>
      <c r="D2" s="86" t="s">
        <v>396</v>
      </c>
      <c r="E2" s="86"/>
      <c r="F2" s="86"/>
      <c r="G2" s="86"/>
    </row>
    <row r="3" spans="1:7" ht="15">
      <c r="A3" s="86" t="s">
        <v>354</v>
      </c>
      <c r="B3" s="86">
        <v>0</v>
      </c>
      <c r="C3" s="121">
        <v>0</v>
      </c>
      <c r="D3" s="86" t="s">
        <v>396</v>
      </c>
      <c r="E3" s="86"/>
      <c r="F3" s="86"/>
      <c r="G3" s="86"/>
    </row>
    <row r="4" spans="1:7" ht="15">
      <c r="A4" s="86" t="s">
        <v>355</v>
      </c>
      <c r="B4" s="86">
        <v>0</v>
      </c>
      <c r="C4" s="121">
        <v>0</v>
      </c>
      <c r="D4" s="86" t="s">
        <v>396</v>
      </c>
      <c r="E4" s="86"/>
      <c r="F4" s="86"/>
      <c r="G4" s="86"/>
    </row>
    <row r="5" spans="1:7" ht="15">
      <c r="A5" s="86" t="s">
        <v>356</v>
      </c>
      <c r="B5" s="86">
        <v>62</v>
      </c>
      <c r="C5" s="121">
        <v>0.9393939393939393</v>
      </c>
      <c r="D5" s="86" t="s">
        <v>396</v>
      </c>
      <c r="E5" s="86"/>
      <c r="F5" s="86"/>
      <c r="G5" s="86"/>
    </row>
    <row r="6" spans="1:7" ht="15">
      <c r="A6" s="86" t="s">
        <v>357</v>
      </c>
      <c r="B6" s="86">
        <v>66</v>
      </c>
      <c r="C6" s="121">
        <v>1</v>
      </c>
      <c r="D6" s="86" t="s">
        <v>396</v>
      </c>
      <c r="E6" s="86"/>
      <c r="F6" s="86"/>
      <c r="G6" s="86"/>
    </row>
    <row r="7" spans="1:7" ht="15">
      <c r="A7" s="92" t="s">
        <v>358</v>
      </c>
      <c r="B7" s="92">
        <v>3</v>
      </c>
      <c r="C7" s="122">
        <v>0.012285436678303343</v>
      </c>
      <c r="D7" s="92" t="s">
        <v>396</v>
      </c>
      <c r="E7" s="92" t="b">
        <v>0</v>
      </c>
      <c r="F7" s="92" t="b">
        <v>0</v>
      </c>
      <c r="G7" s="92" t="b">
        <v>0</v>
      </c>
    </row>
    <row r="8" spans="1:7" ht="15">
      <c r="A8" s="92" t="s">
        <v>359</v>
      </c>
      <c r="B8" s="92">
        <v>2</v>
      </c>
      <c r="C8" s="122">
        <v>0.02219168626603081</v>
      </c>
      <c r="D8" s="92" t="s">
        <v>396</v>
      </c>
      <c r="E8" s="92" t="b">
        <v>1</v>
      </c>
      <c r="F8" s="92" t="b">
        <v>0</v>
      </c>
      <c r="G8" s="92" t="b">
        <v>0</v>
      </c>
    </row>
    <row r="9" spans="1:7" ht="15">
      <c r="A9" s="92" t="s">
        <v>358</v>
      </c>
      <c r="B9" s="92">
        <v>3</v>
      </c>
      <c r="C9" s="122">
        <v>0.012285436678303343</v>
      </c>
      <c r="D9" s="92" t="s">
        <v>333</v>
      </c>
      <c r="E9" s="92" t="b">
        <v>0</v>
      </c>
      <c r="F9" s="92" t="b">
        <v>0</v>
      </c>
      <c r="G9" s="92" t="b">
        <v>0</v>
      </c>
    </row>
    <row r="10" spans="1:7" ht="15">
      <c r="A10" s="92" t="s">
        <v>359</v>
      </c>
      <c r="B10" s="92">
        <v>2</v>
      </c>
      <c r="C10" s="122">
        <v>0.02219168626603081</v>
      </c>
      <c r="D10" s="92" t="s">
        <v>333</v>
      </c>
      <c r="E10" s="92" t="b">
        <v>1</v>
      </c>
      <c r="F10" s="92" t="b">
        <v>0</v>
      </c>
      <c r="G10"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D222A85-D2F8-4491-97E2-61D699C5CB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2019-08-17T00:12:54Z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