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<sst xmlns="http://schemas.openxmlformats.org/spreadsheetml/2006/main" count="1137" uniqueCount="517">
  <si>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</si>
  <si>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</si>
  <si>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</si>
  <si>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</si>
  <si>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</si>
  <si>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</si>
  <si>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</si>
  <si>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</si>
  <si>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</si>
  <si>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</si>
  <si>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</si>
  <si>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</si>
  <si>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</si>
  <si>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</si>
  <si>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</si>
  <si>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</si>
  <si>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</si>
  <si>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</si>
  <si>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</si>
  <si>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</si>
  <si>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</si>
  <si>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</si>
  <si>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</si>
  <si>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</si>
  <si>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</si>
  <si>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</si>
  <si>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</si>
  <si>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</si>
  <si>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</si>
  <si>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</si>
  <si>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</si>
  <si>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</si>
  <si>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</si>
  <si>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</si>
  <si>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</si>
  <si>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</si>
  <si>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</si>
  <si>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</si>
  <si>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</si>
  <si>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</si>
  <si>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</si>
  <si>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</si>
  <si>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</si>
  <si>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</si>
  <si>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</si>
  <si>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</si>
  <si>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</si>
  <si>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</si>
  <si>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</si>
  <si>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</si>
  <si>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</si>
  <si>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</si>
  <si>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</si>
  <si>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</si>
  <si>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</si>
  <si>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</si>
  <si>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</si>
  <si>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</si>
  <si>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</si>
  <si>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</si>
  <si>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</si>
  <si>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</si>
  <si>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</si>
  <si>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</si>
  <si>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</si>
  <si>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</si>
  <si>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</si>
  <si>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</si>
  <si>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</si>
  <si>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</si>
  <si>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</si>
  <si>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</si>
  <si>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</si>
  <si>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</si>
  <si>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</si>
  <si>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</si>
  <si>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</si>
  <si>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</si>
  <si>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</si>
  <si>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</si>
  <si>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</si>
  <si>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</si>
  <si>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</si>
  <si>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</si>
  <si>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</si>
  <si>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</si>
  <si>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</si>
  <si>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</si>
  <si>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</si>
  <si>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</si>
  <si>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</si>
  <si>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</si>
  <si>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</si>
  <si>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</si>
  <si>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</si>
  <si>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</si>
  <si>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</si>
  <si>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</si>
  <si>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</si>
  <si>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</si>
  <si>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</si>
  <si>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</si>
  <si>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</si>
  <si>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</si>
  <si>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</si>
  <si>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</si>
  <si>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</si>
  <si>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</si>
  <si>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</si>
  <si>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</si>
  <si>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</si>
  <si>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</si>
  <si>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</si>
  <si>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</si>
  <si>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</si>
  <si>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</si>
  <si>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</si>
  <si>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</si>
  <si>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</si>
  <si>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</si>
  <si>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</si>
  <si>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</si>
  <si>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</si>
  <si>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</si>
  <si>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</si>
  <si>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</si>
  <si>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</si>
  <si>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</si>
  <si>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</si>
  <si>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</si>
  <si>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</si>
  <si>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</si>
  <si>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</si>
  <si>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</si>
  <si>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</si>
  <si>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</si>
  <si>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</si>
  <si>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</si>
  <si>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</si>
  <si>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</si>
  <si>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</si>
  <si>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</si>
  <si>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</si>
  <si>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</si>
  <si>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</si>
  <si>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</si>
  <si>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</si>
  <si>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</si>
  <si>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</si>
  <si>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</si>
  <si>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</si>
  <si>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</si>
  <si>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</si>
  <si>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</si>
  <si>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</si>
  <si>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</si>
  <si>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</si>
  <si>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</si>
  <si>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</si>
  <si>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</si>
  <si>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</si>
  <si>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</si>
  <si>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</si>
  <si>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</si>
  <si>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</si>
  <si>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</si>
  <si>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</si>
  <si>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</si>
  <si>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</si>
  <si>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</si>
  <si>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</si>
  <si>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</si>
  <si>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</si>
  <si>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</si>
  <si>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</si>
  <si>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</si>
  <si>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</si>
  <si>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</si>
  <si>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</si>
  <si>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</si>
  <si>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</si>
  <si>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</si>
  <si>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</si>
  <si>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</si>
  <si>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</si>
  <si>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</si>
  <si>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</si>
  <si>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</si>
  <si>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</si>
  <si>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</si>
  <si>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</si>
  <si>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</si>
  <si>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</si>
  <si>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</si>
  <si>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</si>
  <si>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</si>
  <si>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</si>
  <si>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</si>
  <si>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</si>
  <si>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</si>
  <si>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</si>
  <si>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</si>
  <si>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</si>
  <si>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</si>
  <si>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</si>
  <si>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</si>
  <si>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</si>
  <si>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</si>
  <si>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</si>
  <si>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</si>
  <si>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</si>
  <si>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</si>
  <si>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shaaliliton1</t>
  </si>
  <si>
    <t>pyvnts</t>
  </si>
  <si>
    <t>mattthueson</t>
  </si>
  <si>
    <t>rss_feed_reader</t>
  </si>
  <si>
    <t>cradlepoint</t>
  </si>
  <si>
    <t>Replies to</t>
  </si>
  <si>
    <t>FierceWireless 5G Executive Breakfast Series at Mobile World Congress Americas 2019 https://t.co/23J1MbkssP</t>
  </si>
  <si>
    <t>Mobile World Congress Americas Oct 22-24 Los Angeles https://t.co/8mc6Hhu4sl payments #ecommerce https://t.co/VYcxRqwfDr</t>
  </si>
  <si>
    <t>@Cradlepoint Co-Sponsors ‘Pathway to #5G’ Panel at Mobile World Congress Americas #mwca  https://t.co/1zatBew6FH https://t.co/iS9n4SRHle</t>
  </si>
  <si>
    <t>Ars Verizon wants you to pay $650 plus $85 a month for a 5G hotspot https://t.co/su3BMh49KF 
Enlarge / A Verizon b… https://t.co/pqrvXLSJXk</t>
  </si>
  <si>
    <t>Ars Verizon: 5G speeds on low-spectrum bands will be more like “good 4G” https://t.co/GPQjloWwJm 
Enlarge / A Verizon booth at Mobile World Congress Americas in Los Angeles in September 2018. (credit: Verizon)
5G won't be much different from 4G outside dense urban areas, a Ve…</t>
  </si>
  <si>
    <t>https://pages.questexweb.com/FierceWireless-MWCA2019.html</t>
  </si>
  <si>
    <t>http://www.pyvnts.com/oct-2019-pyvnts.html http://www.pyvnts.com/</t>
  </si>
  <si>
    <t>https://www.businesswire.com/news/home/20180830005135/en/Cradlepoint-Co-Sponsors-'Pathway-5G'-Panel-Mobile-World?es_p=9776008</t>
  </si>
  <si>
    <t>https://arstechnica.com/?p=1539281 https://twitter.com/i/web/status/1152338518649245696</t>
  </si>
  <si>
    <t>https://arstechnica.com/?p=1548369</t>
  </si>
  <si>
    <t>questexweb.com</t>
  </si>
  <si>
    <t>pyvnts.com pyvnts.com</t>
  </si>
  <si>
    <t>businesswire.com</t>
  </si>
  <si>
    <t>arstechnica.com twitter.com</t>
  </si>
  <si>
    <t>arstechnica.com</t>
  </si>
  <si>
    <t>ecommerce</t>
  </si>
  <si>
    <t>5g mwca</t>
  </si>
  <si>
    <t>https://pbs.twimg.com/media/EA10aqPWsAEUO8J.png</t>
  </si>
  <si>
    <t>http://pbs.twimg.com/profile_images/1098593603604176896/MdlK2Dxm_normal.jpg</t>
  </si>
  <si>
    <t>http://pbs.twimg.com/profile_images/873636826891694080/h7j4lC5K_normal.jpg</t>
  </si>
  <si>
    <t>http://pbs.twimg.com/profile_images/3384826748/794c98b6b045fca3693aa02a03bcaa5e_normal.jpeg</t>
  </si>
  <si>
    <t>https://twitter.com/#!/shaaliliton1/status/1150837508910882816</t>
  </si>
  <si>
    <t>https://twitter.com/#!/pyvnts/status/1150393335099604993</t>
  </si>
  <si>
    <t>https://twitter.com/#!/pyvnts/status/1154372048237584384</t>
  </si>
  <si>
    <t>https://twitter.com/#!/mattthueson/status/1156708682408890373</t>
  </si>
  <si>
    <t>https://twitter.com/#!/rss_feed_reader/status/1152338518649245696</t>
  </si>
  <si>
    <t>https://twitter.com/#!/rss_feed_reader/status/1159547996918484993</t>
  </si>
  <si>
    <t>1150837508910882816</t>
  </si>
  <si>
    <t>1150393335099604993</t>
  </si>
  <si>
    <t>1154372048237584384</t>
  </si>
  <si>
    <t>1156708682408890373</t>
  </si>
  <si>
    <t>1152338518649245696</t>
  </si>
  <si>
    <t>1159547996918484993</t>
  </si>
  <si>
    <t/>
  </si>
  <si>
    <t>17322976</t>
  </si>
  <si>
    <t>en</t>
  </si>
  <si>
    <t>Twitter Web Client</t>
  </si>
  <si>
    <t>SocialOomph</t>
  </si>
  <si>
    <t>EveryoneSocial</t>
  </si>
  <si>
    <t>IFTTT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</si>
  <si>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</si>
  <si>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</si>
  <si>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</si>
  <si>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</si>
  <si>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</si>
  <si>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</si>
  <si>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</si>
  <si>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</si>
  <si>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</si>
  <si>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</si>
  <si>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</si>
  <si>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</si>
  <si>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</si>
  <si>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</si>
  <si>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</si>
  <si>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</si>
  <si>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</si>
  <si>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</si>
  <si>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</si>
  <si>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</si>
  <si>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</si>
  <si>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Sha Ali Liton</t>
  </si>
  <si>
    <t>PYVNTS</t>
  </si>
  <si>
    <t>Matt Thueson (CPCNP)</t>
  </si>
  <si>
    <t>Cradlepoint</t>
  </si>
  <si>
    <t>RSS Reader</t>
  </si>
  <si>
    <t>Express Guide to Payment Events</t>
  </si>
  <si>
    <t>Inside Solutions Engineer @ Cradlepoint. 
#Clevel, #Relationships, #listening, #infrastructure, #Network_Security, #Continuity, #Disaster_Recovery, #IoT.</t>
  </si>
  <si>
    <t>Cradlepoint is the industry leader in cloud-delivered 4G LTE network solutions for business, service provider, and government organizations.</t>
  </si>
  <si>
    <t>Let there be RSS</t>
  </si>
  <si>
    <t>Punta Gorda, FL</t>
  </si>
  <si>
    <t>Boise, ID</t>
  </si>
  <si>
    <t>Boise, Idaho</t>
  </si>
  <si>
    <t>http://www.pyvnts.com</t>
  </si>
  <si>
    <t>https://t.co/cwcl30d3Rd</t>
  </si>
  <si>
    <t>https://t.co/LY4oUmCPty</t>
  </si>
  <si>
    <t>https://pbs.twimg.com/profile_banners/850654238594215936/1497176023</t>
  </si>
  <si>
    <t>https://pbs.twimg.com/profile_banners/114503243/1469468224</t>
  </si>
  <si>
    <t>https://pbs.twimg.com/profile_banners/17322976/1554667056</t>
  </si>
  <si>
    <t>http://abs.twimg.com/images/themes/theme1/bg.png</t>
  </si>
  <si>
    <t>http://abs.twimg.com/images/themes/theme4/bg.gif</t>
  </si>
  <si>
    <t>http://pbs.twimg.com/profile_images/757628037596717056/iWECihKX_normal.jpg</t>
  </si>
  <si>
    <t>http://pbs.twimg.com/profile_images/1114980498571325440/P5oHo7-0_normal.png</t>
  </si>
  <si>
    <t>Open Twitter Page for This Person</t>
  </si>
  <si>
    <t>https://twitter.com/shaaliliton1</t>
  </si>
  <si>
    <t>https://twitter.com/pyvnts</t>
  </si>
  <si>
    <t>https://twitter.com/mattthueson</t>
  </si>
  <si>
    <t>https://twitter.com/cradlepoint</t>
  </si>
  <si>
    <t>https://twitter.com/rss_feed_reader</t>
  </si>
  <si>
    <t>shaaliliton1
FierceWireless 5G Executive Breakfast
Series at Mobile World Congress
Americas 2019 https://t.co/23J1MbkssP</t>
  </si>
  <si>
    <t>pyvnts
Mobile World Congress Americas
Oct 22-24 Los Angeles https://t.co/8mc6Hhu4sl
payments #ecommerce https://t.co/VYcxRqwfDr</t>
  </si>
  <si>
    <t>mattthueson
@Cradlepoint Co-Sponsors ‘Pathway
to #5G’ Panel at Mobile World Congress
Americas #mwca https://t.co/1zatBew6FH
https://t.co/iS9n4SRHle</t>
  </si>
  <si>
    <t xml:space="preserve">cradlepoint
</t>
  </si>
  <si>
    <t>rss_feed_reader
Ars Verizon: 5G speeds on low-spectrum
bands will be more like “good 4G”
https://t.co/GPQjloWwJm Enlarge
/ A Verizon booth at Mobile World
Congress Americas in Los Angeles
in September 2018. (credit: Verizon)
5G won't be much different from
4G outside dense urban areas, a
Ve…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</si>
  <si>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</si>
  <si>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</si>
  <si>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</si>
  <si>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</si>
  <si>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</si>
  <si>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</si>
  <si>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</si>
  <si>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</si>
  <si>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</si>
  <si>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</si>
  <si>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</si>
  <si>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</si>
  <si>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</si>
  <si>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</si>
  <si>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</si>
  <si>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</si>
  <si>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</si>
  <si>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</si>
  <si>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</si>
  <si>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</si>
  <si>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</si>
  <si>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</si>
  <si>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</si>
  <si>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</si>
  <si>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</si>
  <si>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</si>
  <si>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</si>
  <si>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</si>
  <si>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</si>
  <si>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</si>
  <si>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</si>
  <si>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</si>
  <si>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</si>
  <si>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</si>
  <si>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</si>
  <si>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</si>
  <si>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</si>
  <si>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</si>
  <si>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</si>
  <si>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</si>
  <si>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</si>
  <si>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</si>
  <si>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</si>
  <si>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</si>
  <si>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</si>
  <si>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</si>
  <si>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Not Applicable</t>
  </si>
  <si>
    <t>Top URLs in Tweet in Entire Graph</t>
  </si>
  <si>
    <t>http://www.pyvnts.com/oct-2019-pyvnts.html</t>
  </si>
  <si>
    <t>http://www.pyvnts.com/</t>
  </si>
  <si>
    <t>https://arstechnica.com/?p=1539281</t>
  </si>
  <si>
    <t>https://twitter.com/i/web/status/1152338518649245696</t>
  </si>
  <si>
    <t>Entire Graph Count</t>
  </si>
  <si>
    <t>Top URLs in Tweet in G1</t>
  </si>
  <si>
    <t>Top URLs in Tweet in G2</t>
  </si>
  <si>
    <t>G1 Count</t>
  </si>
  <si>
    <t>G2 Count</t>
  </si>
  <si>
    <t>Top URLs in Tweet</t>
  </si>
  <si>
    <t>http://www.pyvnts.com/oct-2019-pyvnts.html http://www.pyvnts.com/ https://pages.questexweb.com/FierceWireless-MWCA2019.html https://arstechnica.com/?p=1548369 https://arstechnica.com/?p=1539281 https://twitter.com/i/web/status/1152338518649245696</t>
  </si>
  <si>
    <t>Top Domains in Tweet in Entire Graph</t>
  </si>
  <si>
    <t>pyvnts.com</t>
  </si>
  <si>
    <t>twitter.com</t>
  </si>
  <si>
    <t>Top Domains in Tweet in G1</t>
  </si>
  <si>
    <t>Top Domains in Tweet in G2</t>
  </si>
  <si>
    <t>Top Domains in Tweet</t>
  </si>
  <si>
    <t>pyvnts.com arstechnica.com questexweb.com twitter.com</t>
  </si>
  <si>
    <t>Top Hashtags in Tweet in Entire Graph</t>
  </si>
  <si>
    <t>5g</t>
  </si>
  <si>
    <t>mwca</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</si>
  <si>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</si>
  <si>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</si>
  <si>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</si>
  <si>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</si>
  <si>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</si>
  <si>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</si>
  <si>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</si>
  <si>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</si>
  <si>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</si>
  <si>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verizon</t>
  </si>
  <si>
    <t>mobile</t>
  </si>
  <si>
    <t>world</t>
  </si>
  <si>
    <t>congress</t>
  </si>
  <si>
    <t>americas</t>
  </si>
  <si>
    <t>Top Words in Tweet in G1</t>
  </si>
  <si>
    <t>angeles</t>
  </si>
  <si>
    <t>oct</t>
  </si>
  <si>
    <t>22</t>
  </si>
  <si>
    <t>24</t>
  </si>
  <si>
    <t>Top Words in Tweet in G2</t>
  </si>
  <si>
    <t>Top Words in Tweet</t>
  </si>
  <si>
    <t>verizon 5g mobile world congress americas angeles oct 22 24</t>
  </si>
  <si>
    <t>Top Word Pairs in Tweet in Entire Graph</t>
  </si>
  <si>
    <t>mobile,world</t>
  </si>
  <si>
    <t>world,congress</t>
  </si>
  <si>
    <t>congress,americas</t>
  </si>
  <si>
    <t>ars,verizon</t>
  </si>
  <si>
    <t>verizon,5g</t>
  </si>
  <si>
    <t>enlarge,verizon</t>
  </si>
  <si>
    <t>americas,oct</t>
  </si>
  <si>
    <t>oct,22</t>
  </si>
  <si>
    <t>22,24</t>
  </si>
  <si>
    <t>24,angeles</t>
  </si>
  <si>
    <t>Top Word Pairs in Tweet in G1</t>
  </si>
  <si>
    <t>angeles,payments</t>
  </si>
  <si>
    <t>payments,#ecommerce</t>
  </si>
  <si>
    <t>Top Word Pairs in Tweet in G2</t>
  </si>
  <si>
    <t>Top Word Pairs in Tweet</t>
  </si>
  <si>
    <t>mobile,world  world,congress  congress,americas  americas,oct  oct,22  22,24  24,angeles  angeles,payments  payments,#ecommerce  ars,verizon</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</si>
  <si>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</si>
  <si>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</si>
  <si>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</si>
  <si>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</si>
  <si>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</si>
  <si>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</si>
  <si>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</si>
  <si>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</si>
  <si>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</si>
  <si>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</si>
  <si>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</si>
  <si>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</si>
  <si>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rss_feed_reader pyvnts shaaliliton1</t>
  </si>
  <si>
    <t>cradlepoint mattthueson</t>
  </si>
  <si>
    <t>Top URLs in Tweet by Count</t>
  </si>
  <si>
    <t>https://arstechnica.com/?p=1548369 https://arstechnica.com/?p=1539281 https://twitter.com/i/web/status/1152338518649245696</t>
  </si>
  <si>
    <t>Top URLs in Tweet by Salience</t>
  </si>
  <si>
    <t>Top Domains in Tweet by Count</t>
  </si>
  <si>
    <t>Top Domains in Tweet by Salience</t>
  </si>
  <si>
    <t>twitter.com arstechnica.com</t>
  </si>
  <si>
    <t>Top Hashtags in Tweet by Count</t>
  </si>
  <si>
    <t>Top Hashtags in Tweet by Salience</t>
  </si>
  <si>
    <t>Top Words in Tweet by Count</t>
  </si>
  <si>
    <t>fiercewireless 5g executive breakfast series 2019</t>
  </si>
  <si>
    <t>oct 22 24 los angeles payments #ecommerce</t>
  </si>
  <si>
    <t>cradlepoint co sponsors pathway #5g panel #mwca</t>
  </si>
  <si>
    <t>verizon 5g ars 4g enlarge speeds low spectrum bands more</t>
  </si>
  <si>
    <t>Top Words in Tweet by Salience</t>
  </si>
  <si>
    <t>4g speeds low spectrum bands more good booth los angeles</t>
  </si>
  <si>
    <t>Top Word Pairs in Tweet by Count</t>
  </si>
  <si>
    <t>fiercewireless,5g  5g,executive  executive,breakfast  breakfast,series  series,mobile  mobile,world  world,congress  congress,americas  americas,2019</t>
  </si>
  <si>
    <t>mobile,world  world,congress  congress,americas  americas,oct  oct,22  22,24  24,los  los,angeles  angeles,payments  payments,#ecommerce</t>
  </si>
  <si>
    <t>cradlepoint,co  co,sponsors  sponsors,pathway  pathway,#5g  #5g,panel  panel,mobile  mobile,world  world,congress  congress,americas  americas,#mwca</t>
  </si>
  <si>
    <t>ars,verizon  verizon,5g  enlarge,verizon  5g,speeds  speeds,low  low,spectrum  spectrum,bands  bands,more  more,good  good,4g</t>
  </si>
  <si>
    <t>Top Word Pairs in Tweet by Salience</t>
  </si>
  <si>
    <t>verizon,5g  5g,speeds  speeds,low  low,spectrum  spectrum,bands  bands,more  more,good  good,4g  4g,enlarge  verizon,booth</t>
  </si>
  <si>
    <t>Word</t>
  </si>
  <si>
    <t>ars</t>
  </si>
  <si>
    <t>4g</t>
  </si>
  <si>
    <t>enlarge</t>
  </si>
  <si>
    <t>payments</t>
  </si>
  <si>
    <t>#ecommerce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</si>
  <si>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</si>
  <si>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</si>
  <si>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</si>
  <si>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</si>
  <si>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</si>
  <si>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</si>
  <si>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</si>
  <si>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</si>
  <si>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</si>
  <si>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</si>
  <si>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</si>
  <si>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</si>
  <si>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</si>
  <si>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</si>
  <si>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</si>
  <si>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</si>
  <si>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</si>
  <si>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</si>
  <si>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</si>
  <si>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</si>
  <si>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</si>
  <si>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</si>
  <si>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</si>
  <si>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</si>
  <si>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</si>
  <si>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</si>
  <si>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</si>
  <si>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</si>
  <si>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</si>
  <si>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</si>
  <si>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</si>
  <si>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</si>
  <si>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</si>
  <si>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</si>
  <si>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</si>
  <si>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</si>
  <si>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</si>
  <si>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</si>
  <si>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</si>
  <si>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</si>
  <si>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</si>
  <si>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</si>
  <si>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</si>
  <si>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</si>
  <si>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</si>
  <si>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</si>
  <si>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</si>
  <si>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</si>
  <si>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</si>
  <si>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</si>
  <si>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</si>
  <si>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verizon 5g mobile world congress americas angeles oct 22 24</t>
  </si>
  <si>
    <t>Autofill Workbook Results</t>
  </si>
  <si>
    <t>Edge Weight▓2▓2▓0▓True▓Gray▓Red▓▓Edge Weight▓2▓2▓0▓3▓10▓False▓Edge Weight▓2▓2▓0▓35▓12▓False▓▓0▓0▓0▓True▓Black▓Black▓▓Followers▓13▓367▓0▓162▓1000▓False▓▓0▓0▓0▓0▓0▓False▓▓0▓0▓0▓0▓0▓False▓▓0▓0▓0▓0▓0▓False</t>
  </si>
  <si>
    <t>GraphSource░GraphServerTwitterSearch▓GraphTerm░Mobile World Congress Americas▓ImportDescription░The graph represents a network of 5 Twitter users whose tweets in the requested range contained "Mobile World Congress Americas", or who were replied to or mentioned in those tweets.  The network was obtained from the NodeXL Graph Server on Friday, 16 August 2019 at 13:56 UTC.
The requested start date was Wednesday, 14 August 2019 at 00:01 UTC and the maximum number of tweets (going backward in time) was 5,000.
The tweets in the network were tweeted over the 25-day, 6-hour, 17-minute period from Sunday, 14 July 2019 at 13:15 UTC to Thursday, 08 August 2019 at 19:32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</si>
</sst>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843042"/>
        <c:axId val="66478515"/>
      </c:barChart>
      <c:catAx>
        <c:axId val="148430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478515"/>
        <c:crosses val="autoZero"/>
        <c:auto val="1"/>
        <c:lblOffset val="100"/>
        <c:noMultiLvlLbl val="0"/>
      </c:catAx>
      <c:valAx>
        <c:axId val="66478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43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 World Congress Americas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7/14/2019 13:15</c:v>
                </c:pt>
                <c:pt idx="1">
                  <c:v>7/15/2019 18:40</c:v>
                </c:pt>
                <c:pt idx="2">
                  <c:v>7/19/2019 22:04</c:v>
                </c:pt>
                <c:pt idx="3">
                  <c:v>7/25/2019 12:45</c:v>
                </c:pt>
                <c:pt idx="4">
                  <c:v>7/31/2019 23:30</c:v>
                </c:pt>
                <c:pt idx="5">
                  <c:v>8/8/2019 19:32</c:v>
                </c:pt>
              </c:strCache>
            </c:strRef>
          </c:cat>
          <c:val>
            <c:numRef>
              <c:f>'Time Series'!$B$26:$B$32</c:f>
              <c:numCache>
                <c:formatCode>General</c:formatCode>
                <c:ptCount val="6"/>
                <c:pt idx="0">
                  <c:v>1</c:v>
                </c:pt>
                <c:pt idx="1">
                  <c:v>1</c:v>
                </c:pt>
                <c:pt idx="2">
                  <c:v>1</c:v>
                </c:pt>
                <c:pt idx="3">
                  <c:v>1</c:v>
                </c:pt>
                <c:pt idx="4">
                  <c:v>1</c:v>
                </c:pt>
                <c:pt idx="5">
                  <c:v>1</c:v>
                </c:pt>
              </c:numCache>
            </c:numRef>
          </c:val>
        </c:ser>
        <c:axId val="8471836"/>
        <c:axId val="9137661"/>
      </c:barChart>
      <c:catAx>
        <c:axId val="8471836"/>
        <c:scaling>
          <c:orientation val="minMax"/>
        </c:scaling>
        <c:axPos val="b"/>
        <c:delete val="0"/>
        <c:numFmt formatCode="General" sourceLinked="1"/>
        <c:majorTickMark val="out"/>
        <c:minorTickMark val="none"/>
        <c:tickLblPos val="nextTo"/>
        <c:crossAx val="9137661"/>
        <c:crosses val="autoZero"/>
        <c:auto val="1"/>
        <c:lblOffset val="100"/>
        <c:noMultiLvlLbl val="0"/>
      </c:catAx>
      <c:valAx>
        <c:axId val="9137661"/>
        <c:scaling>
          <c:orientation val="minMax"/>
        </c:scaling>
        <c:axPos val="l"/>
        <c:majorGridlines/>
        <c:delete val="0"/>
        <c:numFmt formatCode="General" sourceLinked="1"/>
        <c:majorTickMark val="out"/>
        <c:minorTickMark val="none"/>
        <c:tickLblPos val="nextTo"/>
        <c:crossAx val="84718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1435724"/>
        <c:axId val="16050605"/>
      </c:barChart>
      <c:catAx>
        <c:axId val="614357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050605"/>
        <c:crosses val="autoZero"/>
        <c:auto val="1"/>
        <c:lblOffset val="100"/>
        <c:noMultiLvlLbl val="0"/>
      </c:catAx>
      <c:valAx>
        <c:axId val="16050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35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237718"/>
        <c:axId val="25030599"/>
      </c:barChart>
      <c:catAx>
        <c:axId val="102377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030599"/>
        <c:crosses val="autoZero"/>
        <c:auto val="1"/>
        <c:lblOffset val="100"/>
        <c:noMultiLvlLbl val="0"/>
      </c:catAx>
      <c:valAx>
        <c:axId val="25030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37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3948800"/>
        <c:axId val="14212609"/>
      </c:barChart>
      <c:catAx>
        <c:axId val="239488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212609"/>
        <c:crosses val="autoZero"/>
        <c:auto val="1"/>
        <c:lblOffset val="100"/>
        <c:noMultiLvlLbl val="0"/>
      </c:catAx>
      <c:valAx>
        <c:axId val="14212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48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0804618"/>
        <c:axId val="10370651"/>
      </c:barChart>
      <c:catAx>
        <c:axId val="608046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370651"/>
        <c:crosses val="autoZero"/>
        <c:auto val="1"/>
        <c:lblOffset val="100"/>
        <c:noMultiLvlLbl val="0"/>
      </c:catAx>
      <c:valAx>
        <c:axId val="10370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04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6226996"/>
        <c:axId val="34716373"/>
      </c:barChart>
      <c:catAx>
        <c:axId val="262269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716373"/>
        <c:crosses val="autoZero"/>
        <c:auto val="1"/>
        <c:lblOffset val="100"/>
        <c:noMultiLvlLbl val="0"/>
      </c:catAx>
      <c:valAx>
        <c:axId val="34716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26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4011902"/>
        <c:axId val="60562799"/>
      </c:barChart>
      <c:catAx>
        <c:axId val="440119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562799"/>
        <c:crosses val="autoZero"/>
        <c:auto val="1"/>
        <c:lblOffset val="100"/>
        <c:noMultiLvlLbl val="0"/>
      </c:catAx>
      <c:valAx>
        <c:axId val="60562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11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8194280"/>
        <c:axId val="6639657"/>
      </c:barChart>
      <c:catAx>
        <c:axId val="81942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39657"/>
        <c:crosses val="autoZero"/>
        <c:auto val="1"/>
        <c:lblOffset val="100"/>
        <c:noMultiLvlLbl val="0"/>
      </c:catAx>
      <c:valAx>
        <c:axId val="6639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942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9756914"/>
        <c:axId val="941315"/>
      </c:barChart>
      <c:catAx>
        <c:axId val="59756914"/>
        <c:scaling>
          <c:orientation val="minMax"/>
        </c:scaling>
        <c:axPos val="b"/>
        <c:delete val="1"/>
        <c:majorTickMark val="out"/>
        <c:minorTickMark val="none"/>
        <c:tickLblPos val="none"/>
        <c:crossAx val="941315"/>
        <c:crosses val="autoZero"/>
        <c:auto val="1"/>
        <c:lblOffset val="100"/>
        <c:noMultiLvlLbl val="0"/>
      </c:catAx>
      <c:valAx>
        <c:axId val="941315"/>
        <c:scaling>
          <c:orientation val="minMax"/>
        </c:scaling>
        <c:axPos val="l"/>
        <c:delete val="1"/>
        <c:majorTickMark val="out"/>
        <c:minorTickMark val="none"/>
        <c:tickLblPos val="none"/>
        <c:crossAx val="597569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Smith" refreshedVersion="5">
  <cacheSource type="worksheet">
    <worksheetSource ref="A2:BL8"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3">
        <m/>
        <s v="ecommerce"/>
        <s v="5g mwc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19-07-15T18:40:18.000"/>
        <d v="2019-07-14T13:15:19.000"/>
        <d v="2019-07-25T12:45:18.000"/>
        <d v="2019-07-31T23:30:15.000"/>
        <d v="2019-07-19T22:04:46.000"/>
        <d v="2019-08-08T19:32:40.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shaaliliton1"/>
    <s v="shaaliliton1"/>
    <m/>
    <m/>
    <m/>
    <m/>
    <m/>
    <m/>
    <m/>
    <m/>
    <s v="No"/>
    <n v="3"/>
    <m/>
    <m/>
    <x v="0"/>
    <d v="2019-07-15T18:40:18.000"/>
    <s v="FierceWireless 5G Executive Breakfast Series at Mobile World Congress Americas 2019 https://t.co/23J1MbkssP"/>
    <s v="https://pages.questexweb.com/FierceWireless-MWCA2019.html"/>
    <s v="questexweb.com"/>
    <x v="0"/>
    <m/>
    <s v="http://pbs.twimg.com/profile_images/1098593603604176896/MdlK2Dxm_normal.jpg"/>
    <x v="0"/>
    <s v="https://twitter.com/#!/shaaliliton1/status/1150837508910882816"/>
    <m/>
    <m/>
    <s v="1150837508910882816"/>
    <m/>
    <b v="0"/>
    <n v="0"/>
    <s v=""/>
    <b v="0"/>
    <s v="en"/>
    <m/>
    <s v=""/>
    <b v="0"/>
    <n v="0"/>
    <s v=""/>
    <s v="Twitter Web Client"/>
    <b v="0"/>
    <s v="1150837508910882816"/>
    <s v="Tweet"/>
    <n v="0"/>
    <n v="0"/>
    <m/>
    <m/>
    <m/>
    <m/>
    <m/>
    <m/>
    <m/>
    <m/>
    <n v="1"/>
    <s v="1"/>
    <s v="1"/>
    <n v="0"/>
    <n v="0"/>
    <n v="0"/>
    <n v="0"/>
    <n v="0"/>
    <n v="0"/>
    <n v="11"/>
    <n v="100"/>
    <n v="11"/>
  </r>
  <r>
    <s v="pyvnts"/>
    <s v="pyvnts"/>
    <m/>
    <m/>
    <m/>
    <m/>
    <m/>
    <m/>
    <m/>
    <m/>
    <s v="No"/>
    <n v="4"/>
    <m/>
    <m/>
    <x v="0"/>
    <d v="2019-07-14T13:15:19.000"/>
    <s v="Mobile World Congress Americas Oct 22-24 Los Angeles https://t.co/8mc6Hhu4sl payments #ecommerce https://t.co/VYcxRqwfDr"/>
    <s v="http://www.pyvnts.com/oct-2019-pyvnts.html http://www.pyvnts.com/"/>
    <s v="pyvnts.com pyvnts.com"/>
    <x v="1"/>
    <m/>
    <s v="http://pbs.twimg.com/profile_images/873636826891694080/h7j4lC5K_normal.jpg"/>
    <x v="1"/>
    <s v="https://twitter.com/#!/pyvnts/status/1150393335099604993"/>
    <m/>
    <m/>
    <s v="1150393335099604993"/>
    <m/>
    <b v="0"/>
    <n v="0"/>
    <s v=""/>
    <b v="0"/>
    <s v="en"/>
    <m/>
    <s v=""/>
    <b v="0"/>
    <n v="0"/>
    <s v=""/>
    <s v="SocialOomph"/>
    <b v="0"/>
    <s v="1150393335099604993"/>
    <s v="Tweet"/>
    <n v="0"/>
    <n v="0"/>
    <m/>
    <m/>
    <m/>
    <m/>
    <m/>
    <m/>
    <m/>
    <m/>
    <n v="2"/>
    <s v="1"/>
    <s v="1"/>
    <n v="0"/>
    <n v="0"/>
    <n v="0"/>
    <n v="0"/>
    <n v="0"/>
    <n v="0"/>
    <n v="11"/>
    <n v="100"/>
    <n v="11"/>
  </r>
  <r>
    <s v="pyvnts"/>
    <s v="pyvnts"/>
    <m/>
    <m/>
    <m/>
    <m/>
    <m/>
    <m/>
    <m/>
    <m/>
    <s v="No"/>
    <n v="5"/>
    <m/>
    <m/>
    <x v="0"/>
    <d v="2019-07-25T12:45:18.000"/>
    <s v="Mobile World Congress Americas Oct 22-24 Los Angeles https://t.co/8mc6Hhu4sl payments #ecommerce https://t.co/VYcxRqwfDr"/>
    <s v="http://www.pyvnts.com/oct-2019-pyvnts.html http://www.pyvnts.com/"/>
    <s v="pyvnts.com pyvnts.com"/>
    <x v="1"/>
    <m/>
    <s v="http://pbs.twimg.com/profile_images/873636826891694080/h7j4lC5K_normal.jpg"/>
    <x v="2"/>
    <s v="https://twitter.com/#!/pyvnts/status/1154372048237584384"/>
    <m/>
    <m/>
    <s v="1154372048237584384"/>
    <m/>
    <b v="0"/>
    <n v="0"/>
    <s v=""/>
    <b v="0"/>
    <s v="en"/>
    <m/>
    <s v=""/>
    <b v="0"/>
    <n v="0"/>
    <s v=""/>
    <s v="SocialOomph"/>
    <b v="0"/>
    <s v="1154372048237584384"/>
    <s v="Tweet"/>
    <n v="0"/>
    <n v="0"/>
    <m/>
    <m/>
    <m/>
    <m/>
    <m/>
    <m/>
    <m/>
    <m/>
    <n v="2"/>
    <s v="1"/>
    <s v="1"/>
    <n v="0"/>
    <n v="0"/>
    <n v="0"/>
    <n v="0"/>
    <n v="0"/>
    <n v="0"/>
    <n v="11"/>
    <n v="100"/>
    <n v="11"/>
  </r>
  <r>
    <s v="mattthueson"/>
    <s v="cradlepoint"/>
    <m/>
    <m/>
    <m/>
    <m/>
    <m/>
    <m/>
    <m/>
    <m/>
    <s v="No"/>
    <n v="6"/>
    <m/>
    <m/>
    <x v="1"/>
    <d v="2019-07-31T23:30:15.000"/>
    <s v="@Cradlepoint Co-Sponsors ‘Pathway to #5G’ Panel at Mobile World Congress Americas #mwca  https://t.co/1zatBew6FH https://t.co/iS9n4SRHle"/>
    <s v="https://www.businesswire.com/news/home/20180830005135/en/Cradlepoint-Co-Sponsors-'Pathway-5G'-Panel-Mobile-World?es_p=9776008"/>
    <s v="businesswire.com"/>
    <x v="2"/>
    <s v="https://pbs.twimg.com/media/EA10aqPWsAEUO8J.png"/>
    <s v="https://pbs.twimg.com/media/EA10aqPWsAEUO8J.png"/>
    <x v="3"/>
    <s v="https://twitter.com/#!/mattthueson/status/1156708682408890373"/>
    <m/>
    <m/>
    <s v="1156708682408890373"/>
    <m/>
    <b v="0"/>
    <n v="0"/>
    <s v="17322976"/>
    <b v="0"/>
    <s v="en"/>
    <m/>
    <s v=""/>
    <b v="0"/>
    <n v="0"/>
    <s v=""/>
    <s v="EveryoneSocial"/>
    <b v="0"/>
    <s v="1156708682408890373"/>
    <s v="Tweet"/>
    <n v="0"/>
    <n v="0"/>
    <m/>
    <m/>
    <m/>
    <m/>
    <m/>
    <m/>
    <m/>
    <m/>
    <n v="1"/>
    <s v="2"/>
    <s v="2"/>
    <n v="0"/>
    <n v="0"/>
    <n v="0"/>
    <n v="0"/>
    <n v="0"/>
    <n v="0"/>
    <n v="13"/>
    <n v="100"/>
    <n v="13"/>
  </r>
  <r>
    <s v="rss_feed_reader"/>
    <s v="rss_feed_reader"/>
    <m/>
    <m/>
    <m/>
    <m/>
    <m/>
    <m/>
    <m/>
    <m/>
    <s v="No"/>
    <n v="7"/>
    <m/>
    <m/>
    <x v="0"/>
    <d v="2019-07-19T22:04:46.000"/>
    <s v="Ars Verizon wants you to pay $650 plus $85 a month for a 5G hotspot https://t.co/su3BMh49KF _x000a__x000a_Enlarge / A Verizon b… https://t.co/pqrvXLSJXk"/>
    <s v="https://arstechnica.com/?p=1539281 https://twitter.com/i/web/status/1152338518649245696"/>
    <s v="arstechnica.com twitter.com"/>
    <x v="0"/>
    <m/>
    <s v="http://pbs.twimg.com/profile_images/3384826748/794c98b6b045fca3693aa02a03bcaa5e_normal.jpeg"/>
    <x v="4"/>
    <s v="https://twitter.com/#!/rss_feed_reader/status/1152338518649245696"/>
    <m/>
    <m/>
    <s v="1152338518649245696"/>
    <m/>
    <b v="0"/>
    <n v="0"/>
    <s v=""/>
    <b v="0"/>
    <s v="en"/>
    <m/>
    <s v=""/>
    <b v="0"/>
    <n v="0"/>
    <s v=""/>
    <s v="IFTTT"/>
    <b v="1"/>
    <s v="1152338518649245696"/>
    <s v="Tweet"/>
    <n v="0"/>
    <n v="0"/>
    <m/>
    <m/>
    <m/>
    <m/>
    <m/>
    <m/>
    <m/>
    <m/>
    <n v="2"/>
    <s v="1"/>
    <s v="1"/>
    <n v="0"/>
    <n v="0"/>
    <n v="0"/>
    <n v="0"/>
    <n v="0"/>
    <n v="0"/>
    <n v="19"/>
    <n v="100"/>
    <n v="19"/>
  </r>
  <r>
    <s v="rss_feed_reader"/>
    <s v="rss_feed_reader"/>
    <m/>
    <m/>
    <m/>
    <m/>
    <m/>
    <m/>
    <m/>
    <m/>
    <s v="No"/>
    <n v="8"/>
    <m/>
    <m/>
    <x v="0"/>
    <d v="2019-08-08T19:32:40.000"/>
    <s v="Ars Verizon: 5G speeds on low-spectrum bands will be more like “good 4G” https://t.co/GPQjloWwJm _x000a__x000a_Enlarge / A Verizon booth at Mobile World Congress Americas in Los Angeles in September 2018. (credit: Verizon)_x000a__x000a_5G won't be much different from 4G outside dense urban areas, a Ve…"/>
    <s v="https://arstechnica.com/?p=1548369"/>
    <s v="arstechnica.com"/>
    <x v="0"/>
    <m/>
    <s v="http://pbs.twimg.com/profile_images/3384826748/794c98b6b045fca3693aa02a03bcaa5e_normal.jpeg"/>
    <x v="5"/>
    <s v="https://twitter.com/#!/rss_feed_reader/status/1159547996918484993"/>
    <m/>
    <m/>
    <s v="1159547996918484993"/>
    <m/>
    <b v="0"/>
    <n v="0"/>
    <s v=""/>
    <b v="0"/>
    <s v="en"/>
    <m/>
    <s v=""/>
    <b v="0"/>
    <n v="0"/>
    <s v=""/>
    <s v="IFTTT"/>
    <b v="0"/>
    <s v="1159547996918484993"/>
    <s v="Tweet"/>
    <n v="0"/>
    <n v="0"/>
    <m/>
    <m/>
    <m/>
    <m/>
    <m/>
    <m/>
    <m/>
    <m/>
    <n v="2"/>
    <s v="1"/>
    <s v="1"/>
    <n v="2"/>
    <n v="4.545454545454546"/>
    <n v="1"/>
    <n v="2.272727272727273"/>
    <n v="0"/>
    <n v="0"/>
    <n v="41"/>
    <n v="93.18181818181819"/>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1"/>
        <item x="0"/>
        <item x="4"/>
        <item x="2"/>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8" totalsRowShown="0" headerRowDxfId="368" dataDxfId="367">
  <autoFilter ref="A2:BL8"/>
  <tableColumns count="64">
    <tableColumn id="1" name="Vertex 1" dataDxfId="366"/>
    <tableColumn id="2" name="Vertex 2" dataDxfId="365"/>
    <tableColumn id="3" name="Color" dataDxfId="364"/>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4"/>
    <tableColumn id="7" name="ID" dataDxfId="356"/>
    <tableColumn id="9" name="Dynamic Filter" dataDxfId="355"/>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Twitter Page for Tweet" dataDxfId="344"/>
    <tableColumn id="25" name="Latitude" dataDxfId="343"/>
    <tableColumn id="26" name="Longitude" dataDxfId="342"/>
    <tableColumn id="27" name="Imported ID" dataDxfId="341"/>
    <tableColumn id="28" name="In-Reply-To Tweet ID" dataDxfId="340"/>
    <tableColumn id="29" name="Favorited" dataDxfId="339"/>
    <tableColumn id="30" name="Favorite Count" dataDxfId="338"/>
    <tableColumn id="31" name="In-Reply-To User ID" dataDxfId="337"/>
    <tableColumn id="32" name="Is Quote Status" dataDxfId="336"/>
    <tableColumn id="33" name="Language" dataDxfId="335"/>
    <tableColumn id="34" name="Possibly Sensitive" dataDxfId="334"/>
    <tableColumn id="35" name="Quoted Status ID" dataDxfId="333"/>
    <tableColumn id="36" name="Retweeted" dataDxfId="332"/>
    <tableColumn id="37" name="Retweet Count" dataDxfId="331"/>
    <tableColumn id="38" name="Retweet ID" dataDxfId="330"/>
    <tableColumn id="39" name="Source" dataDxfId="329"/>
    <tableColumn id="40" name="Truncated" dataDxfId="328"/>
    <tableColumn id="41" name="Unified Twitter ID" dataDxfId="327"/>
    <tableColumn id="42" name="Imported Tweet Type" dataDxfId="326"/>
    <tableColumn id="43" name="Added By Extended Analysis" dataDxfId="325"/>
    <tableColumn id="44" name="Corrected By Extended Analysis" dataDxfId="324"/>
    <tableColumn id="45" name="Place Bounding Box" dataDxfId="323"/>
    <tableColumn id="46" name="Place Country" dataDxfId="322"/>
    <tableColumn id="47" name="Place Country Code" dataDxfId="321"/>
    <tableColumn id="48" name="Place Full Name" dataDxfId="320"/>
    <tableColumn id="49" name="Place ID" dataDxfId="319"/>
    <tableColumn id="50" name="Place Name" dataDxfId="318"/>
    <tableColumn id="51" name="Place Type" dataDxfId="317"/>
    <tableColumn id="52" name="Place URL" dataDxfId="316"/>
    <tableColumn id="53" name="Edge Weight"/>
    <tableColumn id="54" name="Vertex 1 Group" dataDxfId="23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8" totalsRowShown="0" headerRowDxfId="223" dataDxfId="222">
  <autoFilter ref="A1:F8"/>
  <tableColumns count="6">
    <tableColumn id="1" name="Top URLs in Tweet in Entire Graph" dataDxfId="221"/>
    <tableColumn id="2" name="Entire Graph Count" dataDxfId="220"/>
    <tableColumn id="3" name="Top URLs in Tweet in G1" dataDxfId="219"/>
    <tableColumn id="4" name="G1 Count" dataDxfId="218"/>
    <tableColumn id="5" name="Top URLs in Tweet in G2" dataDxfId="217"/>
    <tableColumn id="6" name="G2 Count" dataDxfId="21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1:F16" totalsRowShown="0" headerRowDxfId="214" dataDxfId="213">
  <autoFilter ref="A11:F16"/>
  <tableColumns count="6">
    <tableColumn id="1" name="Top Domains in Tweet in Entire Graph" dataDxfId="212"/>
    <tableColumn id="2" name="Entire Graph Count" dataDxfId="211"/>
    <tableColumn id="3" name="Top Domains in Tweet in G1" dataDxfId="210"/>
    <tableColumn id="4" name="G1 Count" dataDxfId="209"/>
    <tableColumn id="5" name="Top Domains in Tweet in G2" dataDxfId="208"/>
    <tableColumn id="6" name="G2 Count" dataDxfId="20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F22" totalsRowShown="0" headerRowDxfId="205" dataDxfId="204">
  <autoFilter ref="A19:F22"/>
  <tableColumns count="6">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5:F35" totalsRowShown="0" headerRowDxfId="196" dataDxfId="195">
  <autoFilter ref="A25:F35"/>
  <tableColumns count="6">
    <tableColumn id="1" name="Top Words in Tweet in Entire Graph" dataDxfId="194"/>
    <tableColumn id="2" name="Entire Graph Count" dataDxfId="193"/>
    <tableColumn id="3" name="Top Words in Tweet in G1" dataDxfId="192"/>
    <tableColumn id="4" name="G1 Count" dataDxfId="191"/>
    <tableColumn id="5" name="Top Words in Tweet in G2" dataDxfId="190"/>
    <tableColumn id="6" name="G2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8:F48" totalsRowShown="0" headerRowDxfId="187" dataDxfId="186">
  <autoFilter ref="A38:F48"/>
  <tableColumns count="6">
    <tableColumn id="1" name="Top Word Pairs in Tweet in Entire Graph" dataDxfId="185"/>
    <tableColumn id="2" name="Entire Graph Count" dataDxfId="184"/>
    <tableColumn id="3" name="Top Word Pairs in Tweet in G1" dataDxfId="183"/>
    <tableColumn id="4" name="G1 Count" dataDxfId="182"/>
    <tableColumn id="5" name="Top Word Pairs in Tweet in G2" dataDxfId="181"/>
    <tableColumn id="6" name="G2 Count" dataDxfId="18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1:F52" totalsRowShown="0" headerRowDxfId="178" dataDxfId="177">
  <autoFilter ref="A51:F52"/>
  <tableColumns count="6">
    <tableColumn id="1" name="Top Replied-To in Entire Graph" dataDxfId="176"/>
    <tableColumn id="2" name="Entire Graph Count" dataDxfId="172"/>
    <tableColumn id="3" name="Top Replied-To in G1" dataDxfId="171"/>
    <tableColumn id="4" name="G1 Count" dataDxfId="168"/>
    <tableColumn id="5" name="Top Replied-To in G2" dataDxfId="167"/>
    <tableColumn id="6" name="G2 Count" dataDxfId="16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5:F56" totalsRowShown="0" headerRowDxfId="175" dataDxfId="174">
  <autoFilter ref="A55:F56"/>
  <tableColumns count="6">
    <tableColumn id="1" name="Top Mentioned in Entire Graph" dataDxfId="173"/>
    <tableColumn id="2" name="Entire Graph Count" dataDxfId="170"/>
    <tableColumn id="3" name="Top Mentioned in G1" dataDxfId="169"/>
    <tableColumn id="4" name="G1 Count" dataDxfId="165"/>
    <tableColumn id="5" name="Top Mentioned in G2" dataDxfId="164"/>
    <tableColumn id="6" name="G2 Count" dataDxfId="16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8:F63" totalsRowShown="0" headerRowDxfId="160" dataDxfId="159">
  <autoFilter ref="A58:F63"/>
  <tableColumns count="6">
    <tableColumn id="1" name="Top Tweeters in Entire Graph" dataDxfId="158"/>
    <tableColumn id="2" name="Entire Graph Count" dataDxfId="157"/>
    <tableColumn id="3" name="Top Tweeters in G1" dataDxfId="156"/>
    <tableColumn id="4" name="G1 Count" dataDxfId="155"/>
    <tableColumn id="5" name="Top Tweeters in G2" dataDxfId="154"/>
    <tableColumn id="6" name="G2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6" totalsRowShown="0" headerRowDxfId="141" dataDxfId="140">
  <autoFilter ref="A1:G3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 totalsRowShown="0" headerRowDxfId="315" dataDxfId="314">
  <autoFilter ref="A2:BS7"/>
  <tableColumns count="71">
    <tableColumn id="1" name="Vertex" dataDxfId="313"/>
    <tableColumn id="2" name="Color" dataDxfId="312"/>
    <tableColumn id="5" name="Shape" dataDxfId="311"/>
    <tableColumn id="6" name="Size" dataDxfId="310"/>
    <tableColumn id="4" name="Opacity" dataDxfId="309"/>
    <tableColumn id="7" name="Image File" dataDxfId="308"/>
    <tableColumn id="3" name="Visibility" dataDxfId="307"/>
    <tableColumn id="10" name="Label" dataDxfId="306"/>
    <tableColumn id="16" name="Label Fill Color" dataDxfId="305"/>
    <tableColumn id="9" name="Label Position" dataDxfId="304"/>
    <tableColumn id="8" name="Tooltip" dataDxfId="303"/>
    <tableColumn id="18" name="Layout Order" dataDxfId="302"/>
    <tableColumn id="13" name="X" dataDxfId="301"/>
    <tableColumn id="14" name="Y" dataDxfId="300"/>
    <tableColumn id="12" name="Locked?" dataDxfId="299"/>
    <tableColumn id="19" name="Polar R" dataDxfId="298"/>
    <tableColumn id="20" name="Polar Angle" dataDxfId="29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96"/>
    <tableColumn id="28" name="Dynamic Filter" dataDxfId="295"/>
    <tableColumn id="17" name="Add Your Own Columns Here" dataDxfId="294"/>
    <tableColumn id="30" name="Name" dataDxfId="293"/>
    <tableColumn id="31" name="Followed" dataDxfId="292"/>
    <tableColumn id="32" name="Followers" dataDxfId="291"/>
    <tableColumn id="33" name="Tweets" dataDxfId="290"/>
    <tableColumn id="34" name="Favorites" dataDxfId="289"/>
    <tableColumn id="35" name="Time Zone UTC Offset (Seconds)" dataDxfId="288"/>
    <tableColumn id="36" name="Description" dataDxfId="287"/>
    <tableColumn id="37" name="Location" dataDxfId="286"/>
    <tableColumn id="38" name="Web" dataDxfId="285"/>
    <tableColumn id="39" name="Time Zone" dataDxfId="284"/>
    <tableColumn id="40" name="Joined Twitter Date (UTC)" dataDxfId="283"/>
    <tableColumn id="41" name="Profile Banner Url" dataDxfId="282"/>
    <tableColumn id="42" name="Default Profile" dataDxfId="281"/>
    <tableColumn id="43" name="Default Profile Image" dataDxfId="280"/>
    <tableColumn id="44" name="Geo Enabled" dataDxfId="279"/>
    <tableColumn id="45" name="Language" dataDxfId="278"/>
    <tableColumn id="46" name="Listed Count" dataDxfId="277"/>
    <tableColumn id="47" name="Profile Background Image Url" dataDxfId="276"/>
    <tableColumn id="48" name="Verified" dataDxfId="275"/>
    <tableColumn id="49" name="Custom Menu Item Text" dataDxfId="274"/>
    <tableColumn id="50" name="Custom Menu Item Action" dataDxfId="273"/>
    <tableColumn id="51" name="Tweeted Search Term?" dataDxfId="24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5" totalsRowShown="0" headerRowDxfId="132" dataDxfId="131">
  <autoFilter ref="A1:L2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 totalsRowShown="0" headerRowDxfId="88" dataDxfId="87">
  <autoFilter ref="A2:C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8" totalsRowShown="0" headerRowDxfId="64" dataDxfId="63">
  <autoFilter ref="A2:BL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6" totalsRowShown="0" headerRowDxfId="70" dataDxfId="69">
  <autoFilter ref="A1:B6"/>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72">
  <autoFilter ref="A2:AO4"/>
  <tableColumns count="41">
    <tableColumn id="1" name="Group" dataDxfId="247"/>
    <tableColumn id="2" name="Vertex Color" dataDxfId="246"/>
    <tableColumn id="3" name="Vertex Shape" dataDxfId="244"/>
    <tableColumn id="22" name="Visibility" dataDxfId="245"/>
    <tableColumn id="4" name="Collapsed?"/>
    <tableColumn id="18" name="Label" dataDxfId="271"/>
    <tableColumn id="20" name="Collapsed X"/>
    <tableColumn id="21" name="Collapsed Y"/>
    <tableColumn id="6" name="ID" dataDxfId="270"/>
    <tableColumn id="19" name="Collapsed Properties" dataDxfId="238"/>
    <tableColumn id="5" name="Vertices" dataDxfId="237"/>
    <tableColumn id="7" name="Unique Edges" dataDxfId="236"/>
    <tableColumn id="8" name="Edges With Duplicates" dataDxfId="235"/>
    <tableColumn id="9" name="Total Edges" dataDxfId="234"/>
    <tableColumn id="10" name="Self-Loops" dataDxfId="233"/>
    <tableColumn id="24" name="Reciprocated Vertex Pair Ratio" dataDxfId="232"/>
    <tableColumn id="25" name="Reciprocated Edge Ratio" dataDxfId="231"/>
    <tableColumn id="11" name="Connected Components" dataDxfId="230"/>
    <tableColumn id="12" name="Single-Vertex Connected Components" dataDxfId="229"/>
    <tableColumn id="13" name="Maximum Vertices in a Connected Component" dataDxfId="228"/>
    <tableColumn id="14" name="Maximum Edges in a Connected Component" dataDxfId="227"/>
    <tableColumn id="15" name="Maximum Geodesic Distance (Diameter)" dataDxfId="226"/>
    <tableColumn id="16" name="Average Geodesic Distance" dataDxfId="225"/>
    <tableColumn id="17" name="Graph Density" dataDxfId="215"/>
    <tableColumn id="23" name="Top URLs in Tweet" dataDxfId="206"/>
    <tableColumn id="26" name="Top Domains in Tweet" dataDxfId="197"/>
    <tableColumn id="27" name="Top Hashtags in Tweet" dataDxfId="188"/>
    <tableColumn id="28" name="Top Words in Tweet" dataDxfId="179"/>
    <tableColumn id="29" name="Top Word Pairs in Tweet" dataDxfId="162"/>
    <tableColumn id="30" name="Top Replied-To in Tweet" dataDxfId="16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69" dataDxfId="268">
  <autoFilter ref="A1:C6"/>
  <tableColumns count="3">
    <tableColumn id="1" name="Group" dataDxfId="243"/>
    <tableColumn id="2" name="Vertex" dataDxfId="242"/>
    <tableColumn id="3" name="Vertex ID" dataDxfId="2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7"/>
    <tableColumn id="2" name="Degree Frequency" dataDxfId="266">
      <calculatedColumnFormula>COUNTIF(Vertices[Degree], "&gt;= " &amp; D2) - COUNTIF(Vertices[Degree], "&gt;=" &amp; D3)</calculatedColumnFormula>
    </tableColumn>
    <tableColumn id="3" name="In-Degree Bin" dataDxfId="265"/>
    <tableColumn id="4" name="In-Degree Frequency" dataDxfId="264">
      <calculatedColumnFormula>COUNTIF(Vertices[In-Degree], "&gt;= " &amp; F2) - COUNTIF(Vertices[In-Degree], "&gt;=" &amp; F3)</calculatedColumnFormula>
    </tableColumn>
    <tableColumn id="5" name="Out-Degree Bin" dataDxfId="263"/>
    <tableColumn id="6" name="Out-Degree Frequency" dataDxfId="262">
      <calculatedColumnFormula>COUNTIF(Vertices[Out-Degree], "&gt;= " &amp; H2) - COUNTIF(Vertices[Out-Degree], "&gt;=" &amp; H3)</calculatedColumnFormula>
    </tableColumn>
    <tableColumn id="7" name="Betweenness Centrality Bin" dataDxfId="261"/>
    <tableColumn id="8" name="Betweenness Centrality Frequency" dataDxfId="260">
      <calculatedColumnFormula>COUNTIF(Vertices[Betweenness Centrality], "&gt;= " &amp; J2) - COUNTIF(Vertices[Betweenness Centrality], "&gt;=" &amp; J3)</calculatedColumnFormula>
    </tableColumn>
    <tableColumn id="9" name="Closeness Centrality Bin" dataDxfId="259"/>
    <tableColumn id="10" name="Closeness Centrality Frequency" dataDxfId="258">
      <calculatedColumnFormula>COUNTIF(Vertices[Closeness Centrality], "&gt;= " &amp; L2) - COUNTIF(Vertices[Closeness Centrality], "&gt;=" &amp; L3)</calculatedColumnFormula>
    </tableColumn>
    <tableColumn id="11" name="Eigenvector Centrality Bin" dataDxfId="257"/>
    <tableColumn id="12" name="Eigenvector Centrality Frequency" dataDxfId="256">
      <calculatedColumnFormula>COUNTIF(Vertices[Eigenvector Centrality], "&gt;= " &amp; N2) - COUNTIF(Vertices[Eigenvector Centrality], "&gt;=" &amp; N3)</calculatedColumnFormula>
    </tableColumn>
    <tableColumn id="18" name="PageRank Bin" dataDxfId="255"/>
    <tableColumn id="17" name="PageRank Frequency" dataDxfId="254">
      <calculatedColumnFormula>COUNTIF(Vertices[Eigenvector Centrality], "&gt;= " &amp; P2) - COUNTIF(Vertices[Eigenvector Centrality], "&gt;=" &amp; P3)</calculatedColumnFormula>
    </tableColumn>
    <tableColumn id="13" name="Clustering Coefficient Bin" dataDxfId="253"/>
    <tableColumn id="14" name="Clustering Coefficient Frequency" dataDxfId="252">
      <calculatedColumnFormula>COUNTIF(Vertices[Clustering Coefficient], "&gt;= " &amp; R2) - COUNTIF(Vertices[Clustering Coefficient], "&gt;=" &amp; R3)</calculatedColumnFormula>
    </tableColumn>
    <tableColumn id="15" name="Dynamic Filter Bin" dataDxfId="251"/>
    <tableColumn id="16" name="Dynamic Filter Frequency" dataDxfId="2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ages.questexweb.com/FierceWireless-MWCA2019.html" TargetMode="External" /><Relationship Id="rId2" Type="http://schemas.openxmlformats.org/officeDocument/2006/relationships/hyperlink" Target="https://www.businesswire.com/news/home/20180830005135/en/Cradlepoint-Co-Sponsors-'Pathway-5G'-Panel-Mobile-World?es_p=9776008" TargetMode="External" /><Relationship Id="rId3" Type="http://schemas.openxmlformats.org/officeDocument/2006/relationships/hyperlink" Target="https://arstechnica.com/?p=1548369" TargetMode="External" /><Relationship Id="rId4" Type="http://schemas.openxmlformats.org/officeDocument/2006/relationships/hyperlink" Target="https://pbs.twimg.com/media/EA10aqPWsAEUO8J.png" TargetMode="External" /><Relationship Id="rId5" Type="http://schemas.openxmlformats.org/officeDocument/2006/relationships/hyperlink" Target="http://pbs.twimg.com/profile_images/1098593603604176896/MdlK2Dxm_normal.jpg" TargetMode="External" /><Relationship Id="rId6" Type="http://schemas.openxmlformats.org/officeDocument/2006/relationships/hyperlink" Target="http://pbs.twimg.com/profile_images/873636826891694080/h7j4lC5K_normal.jpg" TargetMode="External" /><Relationship Id="rId7" Type="http://schemas.openxmlformats.org/officeDocument/2006/relationships/hyperlink" Target="http://pbs.twimg.com/profile_images/873636826891694080/h7j4lC5K_normal.jpg" TargetMode="External" /><Relationship Id="rId8" Type="http://schemas.openxmlformats.org/officeDocument/2006/relationships/hyperlink" Target="https://pbs.twimg.com/media/EA10aqPWsAEUO8J.png" TargetMode="External" /><Relationship Id="rId9" Type="http://schemas.openxmlformats.org/officeDocument/2006/relationships/hyperlink" Target="http://pbs.twimg.com/profile_images/3384826748/794c98b6b045fca3693aa02a03bcaa5e_normal.jpeg" TargetMode="External" /><Relationship Id="rId10" Type="http://schemas.openxmlformats.org/officeDocument/2006/relationships/hyperlink" Target="http://pbs.twimg.com/profile_images/3384826748/794c98b6b045fca3693aa02a03bcaa5e_normal.jpeg" TargetMode="External" /><Relationship Id="rId11" Type="http://schemas.openxmlformats.org/officeDocument/2006/relationships/hyperlink" Target="https://twitter.com/#!/shaaliliton1/status/1150837508910882816" TargetMode="External" /><Relationship Id="rId12" Type="http://schemas.openxmlformats.org/officeDocument/2006/relationships/hyperlink" Target="https://twitter.com/#!/pyvnts/status/1150393335099604993" TargetMode="External" /><Relationship Id="rId13" Type="http://schemas.openxmlformats.org/officeDocument/2006/relationships/hyperlink" Target="https://twitter.com/#!/pyvnts/status/1154372048237584384" TargetMode="External" /><Relationship Id="rId14" Type="http://schemas.openxmlformats.org/officeDocument/2006/relationships/hyperlink" Target="https://twitter.com/#!/mattthueson/status/1156708682408890373" TargetMode="External" /><Relationship Id="rId15" Type="http://schemas.openxmlformats.org/officeDocument/2006/relationships/hyperlink" Target="https://twitter.com/#!/rss_feed_reader/status/1152338518649245696" TargetMode="External" /><Relationship Id="rId16" Type="http://schemas.openxmlformats.org/officeDocument/2006/relationships/hyperlink" Target="https://twitter.com/#!/rss_feed_reader/status/1159547996918484993" TargetMode="External" /><Relationship Id="rId17" Type="http://schemas.openxmlformats.org/officeDocument/2006/relationships/comments" Target="../comments1.xml" /><Relationship Id="rId18" Type="http://schemas.openxmlformats.org/officeDocument/2006/relationships/vmlDrawing" Target="../drawings/vmlDrawing1.vml" /><Relationship Id="rId19" Type="http://schemas.openxmlformats.org/officeDocument/2006/relationships/table" Target="../tables/table1.xml" /><Relationship Id="rId2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ages.questexweb.com/FierceWireless-MWCA2019.html" TargetMode="External" /><Relationship Id="rId2" Type="http://schemas.openxmlformats.org/officeDocument/2006/relationships/hyperlink" Target="https://www.businesswire.com/news/home/20180830005135/en/Cradlepoint-Co-Sponsors-'Pathway-5G'-Panel-Mobile-World?es_p=9776008" TargetMode="External" /><Relationship Id="rId3" Type="http://schemas.openxmlformats.org/officeDocument/2006/relationships/hyperlink" Target="https://arstechnica.com/?p=1548369" TargetMode="External" /><Relationship Id="rId4" Type="http://schemas.openxmlformats.org/officeDocument/2006/relationships/hyperlink" Target="https://pbs.twimg.com/media/EA10aqPWsAEUO8J.png" TargetMode="External" /><Relationship Id="rId5" Type="http://schemas.openxmlformats.org/officeDocument/2006/relationships/hyperlink" Target="http://pbs.twimg.com/profile_images/1098593603604176896/MdlK2Dxm_normal.jpg" TargetMode="External" /><Relationship Id="rId6" Type="http://schemas.openxmlformats.org/officeDocument/2006/relationships/hyperlink" Target="http://pbs.twimg.com/profile_images/873636826891694080/h7j4lC5K_normal.jpg" TargetMode="External" /><Relationship Id="rId7" Type="http://schemas.openxmlformats.org/officeDocument/2006/relationships/hyperlink" Target="http://pbs.twimg.com/profile_images/873636826891694080/h7j4lC5K_normal.jpg" TargetMode="External" /><Relationship Id="rId8" Type="http://schemas.openxmlformats.org/officeDocument/2006/relationships/hyperlink" Target="https://pbs.twimg.com/media/EA10aqPWsAEUO8J.png" TargetMode="External" /><Relationship Id="rId9" Type="http://schemas.openxmlformats.org/officeDocument/2006/relationships/hyperlink" Target="http://pbs.twimg.com/profile_images/3384826748/794c98b6b045fca3693aa02a03bcaa5e_normal.jpeg" TargetMode="External" /><Relationship Id="rId10" Type="http://schemas.openxmlformats.org/officeDocument/2006/relationships/hyperlink" Target="http://pbs.twimg.com/profile_images/3384826748/794c98b6b045fca3693aa02a03bcaa5e_normal.jpeg" TargetMode="External" /><Relationship Id="rId11" Type="http://schemas.openxmlformats.org/officeDocument/2006/relationships/hyperlink" Target="https://twitter.com/#!/shaaliliton1/status/1150837508910882816" TargetMode="External" /><Relationship Id="rId12" Type="http://schemas.openxmlformats.org/officeDocument/2006/relationships/hyperlink" Target="https://twitter.com/#!/pyvnts/status/1150393335099604993" TargetMode="External" /><Relationship Id="rId13" Type="http://schemas.openxmlformats.org/officeDocument/2006/relationships/hyperlink" Target="https://twitter.com/#!/pyvnts/status/1154372048237584384" TargetMode="External" /><Relationship Id="rId14" Type="http://schemas.openxmlformats.org/officeDocument/2006/relationships/hyperlink" Target="https://twitter.com/#!/mattthueson/status/1156708682408890373" TargetMode="External" /><Relationship Id="rId15" Type="http://schemas.openxmlformats.org/officeDocument/2006/relationships/hyperlink" Target="https://twitter.com/#!/rss_feed_reader/status/1152338518649245696" TargetMode="External" /><Relationship Id="rId16" Type="http://schemas.openxmlformats.org/officeDocument/2006/relationships/hyperlink" Target="https://twitter.com/#!/rss_feed_reader/status/1159547996918484993" TargetMode="External" /><Relationship Id="rId17" Type="http://schemas.openxmlformats.org/officeDocument/2006/relationships/comments" Target="../comments13.xml" /><Relationship Id="rId18" Type="http://schemas.openxmlformats.org/officeDocument/2006/relationships/vmlDrawing" Target="../drawings/vmlDrawing6.vml" /><Relationship Id="rId19" Type="http://schemas.openxmlformats.org/officeDocument/2006/relationships/table" Target="../tables/table23.xml" /><Relationship Id="rId2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pyvnts.com/" TargetMode="External" /><Relationship Id="rId2" Type="http://schemas.openxmlformats.org/officeDocument/2006/relationships/hyperlink" Target="https://t.co/cwcl30d3Rd" TargetMode="External" /><Relationship Id="rId3" Type="http://schemas.openxmlformats.org/officeDocument/2006/relationships/hyperlink" Target="https://t.co/LY4oUmCPty" TargetMode="External" /><Relationship Id="rId4" Type="http://schemas.openxmlformats.org/officeDocument/2006/relationships/hyperlink" Target="https://pbs.twimg.com/profile_banners/850654238594215936/1497176023" TargetMode="External" /><Relationship Id="rId5" Type="http://schemas.openxmlformats.org/officeDocument/2006/relationships/hyperlink" Target="https://pbs.twimg.com/profile_banners/114503243/1469468224" TargetMode="External" /><Relationship Id="rId6" Type="http://schemas.openxmlformats.org/officeDocument/2006/relationships/hyperlink" Target="https://pbs.twimg.com/profile_banners/17322976/1554667056" TargetMode="External" /><Relationship Id="rId7" Type="http://schemas.openxmlformats.org/officeDocument/2006/relationships/hyperlink" Target="http://abs.twimg.com/images/themes/theme1/bg.png" TargetMode="External" /><Relationship Id="rId8" Type="http://schemas.openxmlformats.org/officeDocument/2006/relationships/hyperlink" Target="http://abs.twimg.com/images/themes/theme4/bg.gif"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pbs.twimg.com/profile_images/1098593603604176896/MdlK2Dxm_normal.jpg" TargetMode="External" /><Relationship Id="rId11" Type="http://schemas.openxmlformats.org/officeDocument/2006/relationships/hyperlink" Target="http://pbs.twimg.com/profile_images/873636826891694080/h7j4lC5K_normal.jpg" TargetMode="External" /><Relationship Id="rId12" Type="http://schemas.openxmlformats.org/officeDocument/2006/relationships/hyperlink" Target="http://pbs.twimg.com/profile_images/757628037596717056/iWECihKX_normal.jpg" TargetMode="External" /><Relationship Id="rId13" Type="http://schemas.openxmlformats.org/officeDocument/2006/relationships/hyperlink" Target="http://pbs.twimg.com/profile_images/1114980498571325440/P5oHo7-0_normal.png" TargetMode="External" /><Relationship Id="rId14" Type="http://schemas.openxmlformats.org/officeDocument/2006/relationships/hyperlink" Target="http://pbs.twimg.com/profile_images/3384826748/794c98b6b045fca3693aa02a03bcaa5e_normal.jpeg" TargetMode="External" /><Relationship Id="rId15" Type="http://schemas.openxmlformats.org/officeDocument/2006/relationships/hyperlink" Target="https://twitter.com/shaaliliton1" TargetMode="External" /><Relationship Id="rId16" Type="http://schemas.openxmlformats.org/officeDocument/2006/relationships/hyperlink" Target="https://twitter.com/pyvnts" TargetMode="External" /><Relationship Id="rId17" Type="http://schemas.openxmlformats.org/officeDocument/2006/relationships/hyperlink" Target="https://twitter.com/mattthueson" TargetMode="External" /><Relationship Id="rId18" Type="http://schemas.openxmlformats.org/officeDocument/2006/relationships/hyperlink" Target="https://twitter.com/cradlepoint" TargetMode="External" /><Relationship Id="rId19" Type="http://schemas.openxmlformats.org/officeDocument/2006/relationships/hyperlink" Target="https://twitter.com/rss_feed_reader" TargetMode="External" /><Relationship Id="rId20" Type="http://schemas.openxmlformats.org/officeDocument/2006/relationships/comments" Target="../comments2.xml" /><Relationship Id="rId21" Type="http://schemas.openxmlformats.org/officeDocument/2006/relationships/vmlDrawing" Target="../drawings/vmlDrawing2.vml" /><Relationship Id="rId22" Type="http://schemas.openxmlformats.org/officeDocument/2006/relationships/table" Target="../tables/table2.xml" /><Relationship Id="rId2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yvnts.com/oct-2019-pyvnts.html" TargetMode="External" /><Relationship Id="rId2" Type="http://schemas.openxmlformats.org/officeDocument/2006/relationships/hyperlink" Target="http://www.pyvnts.com/" TargetMode="External" /><Relationship Id="rId3" Type="http://schemas.openxmlformats.org/officeDocument/2006/relationships/hyperlink" Target="https://arstechnica.com/?p=1548369" TargetMode="External" /><Relationship Id="rId4" Type="http://schemas.openxmlformats.org/officeDocument/2006/relationships/hyperlink" Target="https://arstechnica.com/?p=1539281" TargetMode="External" /><Relationship Id="rId5" Type="http://schemas.openxmlformats.org/officeDocument/2006/relationships/hyperlink" Target="https://twitter.com/i/web/status/1152338518649245696" TargetMode="External" /><Relationship Id="rId6" Type="http://schemas.openxmlformats.org/officeDocument/2006/relationships/hyperlink" Target="https://www.businesswire.com/news/home/20180830005135/en/Cradlepoint-Co-Sponsors-'Pathway-5G'-Panel-Mobile-World?es_p=9776008" TargetMode="External" /><Relationship Id="rId7" Type="http://schemas.openxmlformats.org/officeDocument/2006/relationships/hyperlink" Target="https://pages.questexweb.com/FierceWireless-MWCA2019.html" TargetMode="External" /><Relationship Id="rId8" Type="http://schemas.openxmlformats.org/officeDocument/2006/relationships/hyperlink" Target="http://www.pyvnts.com/oct-2019-pyvnts.html" TargetMode="External" /><Relationship Id="rId9" Type="http://schemas.openxmlformats.org/officeDocument/2006/relationships/hyperlink" Target="http://www.pyvnts.com/" TargetMode="External" /><Relationship Id="rId10" Type="http://schemas.openxmlformats.org/officeDocument/2006/relationships/hyperlink" Target="https://pages.questexweb.com/FierceWireless-MWCA2019.html" TargetMode="External" /><Relationship Id="rId11" Type="http://schemas.openxmlformats.org/officeDocument/2006/relationships/hyperlink" Target="https://arstechnica.com/?p=1548369" TargetMode="External" /><Relationship Id="rId12" Type="http://schemas.openxmlformats.org/officeDocument/2006/relationships/hyperlink" Target="https://arstechnica.com/?p=1539281" TargetMode="External" /><Relationship Id="rId13" Type="http://schemas.openxmlformats.org/officeDocument/2006/relationships/hyperlink" Target="https://twitter.com/i/web/status/1152338518649245696" TargetMode="External" /><Relationship Id="rId14" Type="http://schemas.openxmlformats.org/officeDocument/2006/relationships/hyperlink" Target="https://www.businesswire.com/news/home/20180830005135/en/Cradlepoint-Co-Sponsors-'Pathway-5G'-Panel-Mobile-World?es_p=9776008" TargetMode="External" /><Relationship Id="rId15" Type="http://schemas.openxmlformats.org/officeDocument/2006/relationships/table" Target="../tables/table11.xml" /><Relationship Id="rId16" Type="http://schemas.openxmlformats.org/officeDocument/2006/relationships/table" Target="../tables/table12.xml" /><Relationship Id="rId17" Type="http://schemas.openxmlformats.org/officeDocument/2006/relationships/table" Target="../tables/table13.xml" /><Relationship Id="rId18" Type="http://schemas.openxmlformats.org/officeDocument/2006/relationships/table" Target="../tables/table14.xml" /><Relationship Id="rId19" Type="http://schemas.openxmlformats.org/officeDocument/2006/relationships/table" Target="../tables/table15.xml" /><Relationship Id="rId20" Type="http://schemas.openxmlformats.org/officeDocument/2006/relationships/table" Target="../tables/table16.xml" /><Relationship Id="rId21" Type="http://schemas.openxmlformats.org/officeDocument/2006/relationships/table" Target="../tables/table17.xml" /><Relationship Id="rId2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350</v>
      </c>
      <c r="BB2" s="13" t="s">
        <v>356</v>
      </c>
      <c r="BC2" s="13" t="s">
        <v>357</v>
      </c>
      <c r="BD2" s="67" t="s">
        <v>477</v>
      </c>
      <c r="BE2" s="67" t="s">
        <v>478</v>
      </c>
      <c r="BF2" s="67" t="s">
        <v>479</v>
      </c>
      <c r="BG2" s="67" t="s">
        <v>480</v>
      </c>
      <c r="BH2" s="67" t="s">
        <v>481</v>
      </c>
      <c r="BI2" s="67" t="s">
        <v>482</v>
      </c>
      <c r="BJ2" s="67" t="s">
        <v>483</v>
      </c>
      <c r="BK2" s="67" t="s">
        <v>484</v>
      </c>
      <c r="BL2" s="67" t="s">
        <v>485</v>
      </c>
    </row>
    <row r="3" spans="1:64" ht="15" customHeight="1">
      <c r="A3" s="84" t="s">
        <v>212</v>
      </c>
      <c r="B3" s="84" t="s">
        <v>212</v>
      </c>
      <c r="C3" s="53" t="s">
        <v>512</v>
      </c>
      <c r="D3" s="54">
        <v>3</v>
      </c>
      <c r="E3" s="65" t="s">
        <v>132</v>
      </c>
      <c r="F3" s="55">
        <v>35</v>
      </c>
      <c r="G3" s="53"/>
      <c r="H3" s="57"/>
      <c r="I3" s="56"/>
      <c r="J3" s="56"/>
      <c r="K3" s="36" t="s">
        <v>65</v>
      </c>
      <c r="L3" s="62">
        <v>3</v>
      </c>
      <c r="M3" s="62"/>
      <c r="N3" s="63"/>
      <c r="O3" s="85" t="s">
        <v>176</v>
      </c>
      <c r="P3" s="87">
        <v>43661.77798611111</v>
      </c>
      <c r="Q3" s="85" t="s">
        <v>218</v>
      </c>
      <c r="R3" s="89" t="s">
        <v>223</v>
      </c>
      <c r="S3" s="85" t="s">
        <v>228</v>
      </c>
      <c r="T3" s="85"/>
      <c r="U3" s="85"/>
      <c r="V3" s="89" t="s">
        <v>236</v>
      </c>
      <c r="W3" s="87">
        <v>43661.77798611111</v>
      </c>
      <c r="X3" s="89" t="s">
        <v>239</v>
      </c>
      <c r="Y3" s="85"/>
      <c r="Z3" s="85"/>
      <c r="AA3" s="91" t="s">
        <v>245</v>
      </c>
      <c r="AB3" s="85"/>
      <c r="AC3" s="85" t="b">
        <v>0</v>
      </c>
      <c r="AD3" s="85">
        <v>0</v>
      </c>
      <c r="AE3" s="91" t="s">
        <v>251</v>
      </c>
      <c r="AF3" s="85" t="b">
        <v>0</v>
      </c>
      <c r="AG3" s="85" t="s">
        <v>253</v>
      </c>
      <c r="AH3" s="85"/>
      <c r="AI3" s="91" t="s">
        <v>251</v>
      </c>
      <c r="AJ3" s="85" t="b">
        <v>0</v>
      </c>
      <c r="AK3" s="85">
        <v>0</v>
      </c>
      <c r="AL3" s="91" t="s">
        <v>251</v>
      </c>
      <c r="AM3" s="85" t="s">
        <v>254</v>
      </c>
      <c r="AN3" s="85" t="b">
        <v>0</v>
      </c>
      <c r="AO3" s="91" t="s">
        <v>245</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11</v>
      </c>
      <c r="BK3" s="52">
        <v>100</v>
      </c>
      <c r="BL3" s="51">
        <v>11</v>
      </c>
    </row>
    <row r="4" spans="1:64" ht="15" customHeight="1">
      <c r="A4" s="84" t="s">
        <v>213</v>
      </c>
      <c r="B4" s="84" t="s">
        <v>213</v>
      </c>
      <c r="C4" s="53" t="s">
        <v>512</v>
      </c>
      <c r="D4" s="54">
        <v>3</v>
      </c>
      <c r="E4" s="65" t="s">
        <v>136</v>
      </c>
      <c r="F4" s="55">
        <v>35</v>
      </c>
      <c r="G4" s="53"/>
      <c r="H4" s="57"/>
      <c r="I4" s="56"/>
      <c r="J4" s="56"/>
      <c r="K4" s="36" t="s">
        <v>65</v>
      </c>
      <c r="L4" s="83">
        <v>4</v>
      </c>
      <c r="M4" s="83"/>
      <c r="N4" s="63"/>
      <c r="O4" s="86" t="s">
        <v>176</v>
      </c>
      <c r="P4" s="88">
        <v>43660.552303240744</v>
      </c>
      <c r="Q4" s="86" t="s">
        <v>219</v>
      </c>
      <c r="R4" s="86" t="s">
        <v>224</v>
      </c>
      <c r="S4" s="86" t="s">
        <v>229</v>
      </c>
      <c r="T4" s="86" t="s">
        <v>233</v>
      </c>
      <c r="U4" s="86"/>
      <c r="V4" s="90" t="s">
        <v>237</v>
      </c>
      <c r="W4" s="88">
        <v>43660.552303240744</v>
      </c>
      <c r="X4" s="90" t="s">
        <v>240</v>
      </c>
      <c r="Y4" s="86"/>
      <c r="Z4" s="86"/>
      <c r="AA4" s="92" t="s">
        <v>246</v>
      </c>
      <c r="AB4" s="86"/>
      <c r="AC4" s="86" t="b">
        <v>0</v>
      </c>
      <c r="AD4" s="86">
        <v>0</v>
      </c>
      <c r="AE4" s="92" t="s">
        <v>251</v>
      </c>
      <c r="AF4" s="86" t="b">
        <v>0</v>
      </c>
      <c r="AG4" s="86" t="s">
        <v>253</v>
      </c>
      <c r="AH4" s="86"/>
      <c r="AI4" s="92" t="s">
        <v>251</v>
      </c>
      <c r="AJ4" s="86" t="b">
        <v>0</v>
      </c>
      <c r="AK4" s="86">
        <v>0</v>
      </c>
      <c r="AL4" s="92" t="s">
        <v>251</v>
      </c>
      <c r="AM4" s="86" t="s">
        <v>255</v>
      </c>
      <c r="AN4" s="86" t="b">
        <v>0</v>
      </c>
      <c r="AO4" s="92" t="s">
        <v>246</v>
      </c>
      <c r="AP4" s="86" t="s">
        <v>176</v>
      </c>
      <c r="AQ4" s="86">
        <v>0</v>
      </c>
      <c r="AR4" s="86">
        <v>0</v>
      </c>
      <c r="AS4" s="86"/>
      <c r="AT4" s="86"/>
      <c r="AU4" s="86"/>
      <c r="AV4" s="86"/>
      <c r="AW4" s="86"/>
      <c r="AX4" s="86"/>
      <c r="AY4" s="86"/>
      <c r="AZ4" s="86"/>
      <c r="BA4">
        <v>2</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11</v>
      </c>
      <c r="BK4" s="52">
        <v>100</v>
      </c>
      <c r="BL4" s="51">
        <v>11</v>
      </c>
    </row>
    <row r="5" spans="1:64" ht="45">
      <c r="A5" s="84" t="s">
        <v>213</v>
      </c>
      <c r="B5" s="84" t="s">
        <v>213</v>
      </c>
      <c r="C5" s="53" t="s">
        <v>512</v>
      </c>
      <c r="D5" s="54">
        <v>3</v>
      </c>
      <c r="E5" s="65" t="s">
        <v>136</v>
      </c>
      <c r="F5" s="55">
        <v>35</v>
      </c>
      <c r="G5" s="53"/>
      <c r="H5" s="57"/>
      <c r="I5" s="56"/>
      <c r="J5" s="56"/>
      <c r="K5" s="36" t="s">
        <v>65</v>
      </c>
      <c r="L5" s="83">
        <v>5</v>
      </c>
      <c r="M5" s="83"/>
      <c r="N5" s="63"/>
      <c r="O5" s="86" t="s">
        <v>176</v>
      </c>
      <c r="P5" s="88">
        <v>43671.53145833333</v>
      </c>
      <c r="Q5" s="86" t="s">
        <v>219</v>
      </c>
      <c r="R5" s="86" t="s">
        <v>224</v>
      </c>
      <c r="S5" s="86" t="s">
        <v>229</v>
      </c>
      <c r="T5" s="86" t="s">
        <v>233</v>
      </c>
      <c r="U5" s="86"/>
      <c r="V5" s="90" t="s">
        <v>237</v>
      </c>
      <c r="W5" s="88">
        <v>43671.53145833333</v>
      </c>
      <c r="X5" s="90" t="s">
        <v>241</v>
      </c>
      <c r="Y5" s="86"/>
      <c r="Z5" s="86"/>
      <c r="AA5" s="92" t="s">
        <v>247</v>
      </c>
      <c r="AB5" s="86"/>
      <c r="AC5" s="86" t="b">
        <v>0</v>
      </c>
      <c r="AD5" s="86">
        <v>0</v>
      </c>
      <c r="AE5" s="92" t="s">
        <v>251</v>
      </c>
      <c r="AF5" s="86" t="b">
        <v>0</v>
      </c>
      <c r="AG5" s="86" t="s">
        <v>253</v>
      </c>
      <c r="AH5" s="86"/>
      <c r="AI5" s="92" t="s">
        <v>251</v>
      </c>
      <c r="AJ5" s="86" t="b">
        <v>0</v>
      </c>
      <c r="AK5" s="86">
        <v>0</v>
      </c>
      <c r="AL5" s="92" t="s">
        <v>251</v>
      </c>
      <c r="AM5" s="86" t="s">
        <v>255</v>
      </c>
      <c r="AN5" s="86" t="b">
        <v>0</v>
      </c>
      <c r="AO5" s="92" t="s">
        <v>247</v>
      </c>
      <c r="AP5" s="86" t="s">
        <v>176</v>
      </c>
      <c r="AQ5" s="86">
        <v>0</v>
      </c>
      <c r="AR5" s="86">
        <v>0</v>
      </c>
      <c r="AS5" s="86"/>
      <c r="AT5" s="86"/>
      <c r="AU5" s="86"/>
      <c r="AV5" s="86"/>
      <c r="AW5" s="86"/>
      <c r="AX5" s="86"/>
      <c r="AY5" s="86"/>
      <c r="AZ5" s="86"/>
      <c r="BA5">
        <v>2</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11</v>
      </c>
      <c r="BK5" s="52">
        <v>100</v>
      </c>
      <c r="BL5" s="51">
        <v>11</v>
      </c>
    </row>
    <row r="6" spans="1:64" ht="45">
      <c r="A6" s="84" t="s">
        <v>214</v>
      </c>
      <c r="B6" s="84" t="s">
        <v>216</v>
      </c>
      <c r="C6" s="53" t="s">
        <v>512</v>
      </c>
      <c r="D6" s="54">
        <v>3</v>
      </c>
      <c r="E6" s="65" t="s">
        <v>132</v>
      </c>
      <c r="F6" s="55">
        <v>35</v>
      </c>
      <c r="G6" s="53"/>
      <c r="H6" s="57"/>
      <c r="I6" s="56"/>
      <c r="J6" s="56"/>
      <c r="K6" s="36" t="s">
        <v>65</v>
      </c>
      <c r="L6" s="83">
        <v>6</v>
      </c>
      <c r="M6" s="83"/>
      <c r="N6" s="63"/>
      <c r="O6" s="86" t="s">
        <v>217</v>
      </c>
      <c r="P6" s="88">
        <v>43677.97934027778</v>
      </c>
      <c r="Q6" s="86" t="s">
        <v>220</v>
      </c>
      <c r="R6" s="90" t="s">
        <v>225</v>
      </c>
      <c r="S6" s="86" t="s">
        <v>230</v>
      </c>
      <c r="T6" s="86" t="s">
        <v>234</v>
      </c>
      <c r="U6" s="90" t="s">
        <v>235</v>
      </c>
      <c r="V6" s="90" t="s">
        <v>235</v>
      </c>
      <c r="W6" s="88">
        <v>43677.97934027778</v>
      </c>
      <c r="X6" s="90" t="s">
        <v>242</v>
      </c>
      <c r="Y6" s="86"/>
      <c r="Z6" s="86"/>
      <c r="AA6" s="92" t="s">
        <v>248</v>
      </c>
      <c r="AB6" s="86"/>
      <c r="AC6" s="86" t="b">
        <v>0</v>
      </c>
      <c r="AD6" s="86">
        <v>0</v>
      </c>
      <c r="AE6" s="92" t="s">
        <v>252</v>
      </c>
      <c r="AF6" s="86" t="b">
        <v>0</v>
      </c>
      <c r="AG6" s="86" t="s">
        <v>253</v>
      </c>
      <c r="AH6" s="86"/>
      <c r="AI6" s="92" t="s">
        <v>251</v>
      </c>
      <c r="AJ6" s="86" t="b">
        <v>0</v>
      </c>
      <c r="AK6" s="86">
        <v>0</v>
      </c>
      <c r="AL6" s="92" t="s">
        <v>251</v>
      </c>
      <c r="AM6" s="86" t="s">
        <v>256</v>
      </c>
      <c r="AN6" s="86" t="b">
        <v>0</v>
      </c>
      <c r="AO6" s="92" t="s">
        <v>248</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13</v>
      </c>
      <c r="BK6" s="52">
        <v>100</v>
      </c>
      <c r="BL6" s="51">
        <v>13</v>
      </c>
    </row>
    <row r="7" spans="1:64" ht="45">
      <c r="A7" s="84" t="s">
        <v>215</v>
      </c>
      <c r="B7" s="84" t="s">
        <v>215</v>
      </c>
      <c r="C7" s="53" t="s">
        <v>512</v>
      </c>
      <c r="D7" s="54">
        <v>3</v>
      </c>
      <c r="E7" s="65" t="s">
        <v>136</v>
      </c>
      <c r="F7" s="55">
        <v>35</v>
      </c>
      <c r="G7" s="53"/>
      <c r="H7" s="57"/>
      <c r="I7" s="56"/>
      <c r="J7" s="56"/>
      <c r="K7" s="36" t="s">
        <v>65</v>
      </c>
      <c r="L7" s="83">
        <v>7</v>
      </c>
      <c r="M7" s="83"/>
      <c r="N7" s="63"/>
      <c r="O7" s="86" t="s">
        <v>176</v>
      </c>
      <c r="P7" s="88">
        <v>43665.91997685185</v>
      </c>
      <c r="Q7" s="86" t="s">
        <v>221</v>
      </c>
      <c r="R7" s="86" t="s">
        <v>226</v>
      </c>
      <c r="S7" s="86" t="s">
        <v>231</v>
      </c>
      <c r="T7" s="86"/>
      <c r="U7" s="86"/>
      <c r="V7" s="90" t="s">
        <v>238</v>
      </c>
      <c r="W7" s="88">
        <v>43665.91997685185</v>
      </c>
      <c r="X7" s="90" t="s">
        <v>243</v>
      </c>
      <c r="Y7" s="86"/>
      <c r="Z7" s="86"/>
      <c r="AA7" s="92" t="s">
        <v>249</v>
      </c>
      <c r="AB7" s="86"/>
      <c r="AC7" s="86" t="b">
        <v>0</v>
      </c>
      <c r="AD7" s="86">
        <v>0</v>
      </c>
      <c r="AE7" s="92" t="s">
        <v>251</v>
      </c>
      <c r="AF7" s="86" t="b">
        <v>0</v>
      </c>
      <c r="AG7" s="86" t="s">
        <v>253</v>
      </c>
      <c r="AH7" s="86"/>
      <c r="AI7" s="92" t="s">
        <v>251</v>
      </c>
      <c r="AJ7" s="86" t="b">
        <v>0</v>
      </c>
      <c r="AK7" s="86">
        <v>0</v>
      </c>
      <c r="AL7" s="92" t="s">
        <v>251</v>
      </c>
      <c r="AM7" s="86" t="s">
        <v>257</v>
      </c>
      <c r="AN7" s="86" t="b">
        <v>1</v>
      </c>
      <c r="AO7" s="92" t="s">
        <v>249</v>
      </c>
      <c r="AP7" s="86" t="s">
        <v>176</v>
      </c>
      <c r="AQ7" s="86">
        <v>0</v>
      </c>
      <c r="AR7" s="86">
        <v>0</v>
      </c>
      <c r="AS7" s="86"/>
      <c r="AT7" s="86"/>
      <c r="AU7" s="86"/>
      <c r="AV7" s="86"/>
      <c r="AW7" s="86"/>
      <c r="AX7" s="86"/>
      <c r="AY7" s="86"/>
      <c r="AZ7" s="86"/>
      <c r="BA7">
        <v>2</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19</v>
      </c>
      <c r="BK7" s="52">
        <v>100</v>
      </c>
      <c r="BL7" s="51">
        <v>19</v>
      </c>
    </row>
    <row r="8" spans="1:64" ht="45">
      <c r="A8" s="84" t="s">
        <v>215</v>
      </c>
      <c r="B8" s="84" t="s">
        <v>215</v>
      </c>
      <c r="C8" s="53" t="s">
        <v>512</v>
      </c>
      <c r="D8" s="54">
        <v>3</v>
      </c>
      <c r="E8" s="65" t="s">
        <v>136</v>
      </c>
      <c r="F8" s="55">
        <v>35</v>
      </c>
      <c r="G8" s="53"/>
      <c r="H8" s="57"/>
      <c r="I8" s="56"/>
      <c r="J8" s="56"/>
      <c r="K8" s="36" t="s">
        <v>65</v>
      </c>
      <c r="L8" s="83">
        <v>8</v>
      </c>
      <c r="M8" s="83"/>
      <c r="N8" s="63"/>
      <c r="O8" s="86" t="s">
        <v>176</v>
      </c>
      <c r="P8" s="88">
        <v>43685.814351851855</v>
      </c>
      <c r="Q8" s="86" t="s">
        <v>222</v>
      </c>
      <c r="R8" s="90" t="s">
        <v>227</v>
      </c>
      <c r="S8" s="86" t="s">
        <v>232</v>
      </c>
      <c r="T8" s="86"/>
      <c r="U8" s="86"/>
      <c r="V8" s="90" t="s">
        <v>238</v>
      </c>
      <c r="W8" s="88">
        <v>43685.814351851855</v>
      </c>
      <c r="X8" s="90" t="s">
        <v>244</v>
      </c>
      <c r="Y8" s="86"/>
      <c r="Z8" s="86"/>
      <c r="AA8" s="92" t="s">
        <v>250</v>
      </c>
      <c r="AB8" s="86"/>
      <c r="AC8" s="86" t="b">
        <v>0</v>
      </c>
      <c r="AD8" s="86">
        <v>0</v>
      </c>
      <c r="AE8" s="92" t="s">
        <v>251</v>
      </c>
      <c r="AF8" s="86" t="b">
        <v>0</v>
      </c>
      <c r="AG8" s="86" t="s">
        <v>253</v>
      </c>
      <c r="AH8" s="86"/>
      <c r="AI8" s="92" t="s">
        <v>251</v>
      </c>
      <c r="AJ8" s="86" t="b">
        <v>0</v>
      </c>
      <c r="AK8" s="86">
        <v>0</v>
      </c>
      <c r="AL8" s="92" t="s">
        <v>251</v>
      </c>
      <c r="AM8" s="86" t="s">
        <v>257</v>
      </c>
      <c r="AN8" s="86" t="b">
        <v>0</v>
      </c>
      <c r="AO8" s="92" t="s">
        <v>250</v>
      </c>
      <c r="AP8" s="86" t="s">
        <v>176</v>
      </c>
      <c r="AQ8" s="86">
        <v>0</v>
      </c>
      <c r="AR8" s="86">
        <v>0</v>
      </c>
      <c r="AS8" s="86"/>
      <c r="AT8" s="86"/>
      <c r="AU8" s="86"/>
      <c r="AV8" s="86"/>
      <c r="AW8" s="86"/>
      <c r="AX8" s="86"/>
      <c r="AY8" s="86"/>
      <c r="AZ8" s="86"/>
      <c r="BA8">
        <v>2</v>
      </c>
      <c r="BB8" s="85" t="str">
        <f>REPLACE(INDEX(GroupVertices[Group],MATCH(Edges[[#This Row],[Vertex 1]],GroupVertices[Vertex],0)),1,1,"")</f>
        <v>1</v>
      </c>
      <c r="BC8" s="85" t="str">
        <f>REPLACE(INDEX(GroupVertices[Group],MATCH(Edges[[#This Row],[Vertex 2]],GroupVertices[Vertex],0)),1,1,"")</f>
        <v>1</v>
      </c>
      <c r="BD8" s="51">
        <v>2</v>
      </c>
      <c r="BE8" s="52">
        <v>4.545454545454546</v>
      </c>
      <c r="BF8" s="51">
        <v>1</v>
      </c>
      <c r="BG8" s="52">
        <v>2.272727272727273</v>
      </c>
      <c r="BH8" s="51">
        <v>0</v>
      </c>
      <c r="BI8" s="52">
        <v>0</v>
      </c>
      <c r="BJ8" s="51">
        <v>41</v>
      </c>
      <c r="BK8" s="52">
        <v>93.18181818181819</v>
      </c>
      <c r="BL8" s="51">
        <v>44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hyperlinks>
    <hyperlink ref="R3" r:id="rId1" display="https://pages.questexweb.com/FierceWireless-MWCA2019.html"/>
    <hyperlink ref="R6" r:id="rId2" display="https://www.businesswire.com/news/home/20180830005135/en/Cradlepoint-Co-Sponsors-'Pathway-5G'-Panel-Mobile-World?es_p=9776008"/>
    <hyperlink ref="R8" r:id="rId3" display="https://arstechnica.com/?p=1548369"/>
    <hyperlink ref="U6" r:id="rId4" display="https://pbs.twimg.com/media/EA10aqPWsAEUO8J.png"/>
    <hyperlink ref="V3" r:id="rId5" display="http://pbs.twimg.com/profile_images/1098593603604176896/MdlK2Dxm_normal.jpg"/>
    <hyperlink ref="V4" r:id="rId6" display="http://pbs.twimg.com/profile_images/873636826891694080/h7j4lC5K_normal.jpg"/>
    <hyperlink ref="V5" r:id="rId7" display="http://pbs.twimg.com/profile_images/873636826891694080/h7j4lC5K_normal.jpg"/>
    <hyperlink ref="V6" r:id="rId8" display="https://pbs.twimg.com/media/EA10aqPWsAEUO8J.png"/>
    <hyperlink ref="V7" r:id="rId9" display="http://pbs.twimg.com/profile_images/3384826748/794c98b6b045fca3693aa02a03bcaa5e_normal.jpeg"/>
    <hyperlink ref="V8" r:id="rId10" display="http://pbs.twimg.com/profile_images/3384826748/794c98b6b045fca3693aa02a03bcaa5e_normal.jpeg"/>
    <hyperlink ref="X3" r:id="rId11" display="https://twitter.com/#!/shaaliliton1/status/1150837508910882816"/>
    <hyperlink ref="X4" r:id="rId12" display="https://twitter.com/#!/pyvnts/status/1150393335099604993"/>
    <hyperlink ref="X5" r:id="rId13" display="https://twitter.com/#!/pyvnts/status/1154372048237584384"/>
    <hyperlink ref="X6" r:id="rId14" display="https://twitter.com/#!/mattthueson/status/1156708682408890373"/>
    <hyperlink ref="X7" r:id="rId15" display="https://twitter.com/#!/rss_feed_reader/status/1152338518649245696"/>
    <hyperlink ref="X8" r:id="rId16" display="https://twitter.com/#!/rss_feed_reader/status/1159547996918484993"/>
  </hyperlinks>
  <printOptions/>
  <pageMargins left="0.7" right="0.7" top="0.75" bottom="0.75" header="0.3" footer="0.3"/>
  <pageSetup horizontalDpi="600" verticalDpi="600" orientation="portrait" r:id="rId20"/>
  <legacyDrawing r:id="rId18"/>
  <tableParts>
    <tablePart r:id="rId1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468</v>
      </c>
      <c r="B1" s="13" t="s">
        <v>469</v>
      </c>
      <c r="C1" s="13" t="s">
        <v>462</v>
      </c>
      <c r="D1" s="13" t="s">
        <v>463</v>
      </c>
      <c r="E1" s="13" t="s">
        <v>470</v>
      </c>
      <c r="F1" s="13" t="s">
        <v>144</v>
      </c>
      <c r="G1" s="13" t="s">
        <v>471</v>
      </c>
      <c r="H1" s="13" t="s">
        <v>472</v>
      </c>
      <c r="I1" s="13" t="s">
        <v>473</v>
      </c>
      <c r="J1" s="13" t="s">
        <v>474</v>
      </c>
      <c r="K1" s="13" t="s">
        <v>475</v>
      </c>
      <c r="L1" s="13" t="s">
        <v>476</v>
      </c>
    </row>
    <row r="2" spans="1:12" ht="15">
      <c r="A2" s="91" t="s">
        <v>391</v>
      </c>
      <c r="B2" s="91" t="s">
        <v>392</v>
      </c>
      <c r="C2" s="91">
        <v>5</v>
      </c>
      <c r="D2" s="130">
        <v>0.004713169407596715</v>
      </c>
      <c r="E2" s="130">
        <v>1.1931245983544616</v>
      </c>
      <c r="F2" s="91" t="s">
        <v>464</v>
      </c>
      <c r="G2" s="91" t="b">
        <v>0</v>
      </c>
      <c r="H2" s="91" t="b">
        <v>0</v>
      </c>
      <c r="I2" s="91" t="b">
        <v>0</v>
      </c>
      <c r="J2" s="91" t="b">
        <v>0</v>
      </c>
      <c r="K2" s="91" t="b">
        <v>0</v>
      </c>
      <c r="L2" s="91" t="b">
        <v>0</v>
      </c>
    </row>
    <row r="3" spans="1:12" ht="15">
      <c r="A3" s="91" t="s">
        <v>392</v>
      </c>
      <c r="B3" s="91" t="s">
        <v>393</v>
      </c>
      <c r="C3" s="91">
        <v>5</v>
      </c>
      <c r="D3" s="130">
        <v>0.004713169407596715</v>
      </c>
      <c r="E3" s="130">
        <v>1.1931245983544616</v>
      </c>
      <c r="F3" s="91" t="s">
        <v>464</v>
      </c>
      <c r="G3" s="91" t="b">
        <v>0</v>
      </c>
      <c r="H3" s="91" t="b">
        <v>0</v>
      </c>
      <c r="I3" s="91" t="b">
        <v>0</v>
      </c>
      <c r="J3" s="91" t="b">
        <v>0</v>
      </c>
      <c r="K3" s="91" t="b">
        <v>0</v>
      </c>
      <c r="L3" s="91" t="b">
        <v>0</v>
      </c>
    </row>
    <row r="4" spans="1:12" ht="15">
      <c r="A4" s="91" t="s">
        <v>393</v>
      </c>
      <c r="B4" s="91" t="s">
        <v>394</v>
      </c>
      <c r="C4" s="91">
        <v>5</v>
      </c>
      <c r="D4" s="130">
        <v>0.004713169407596715</v>
      </c>
      <c r="E4" s="130">
        <v>1.1931245983544616</v>
      </c>
      <c r="F4" s="91" t="s">
        <v>464</v>
      </c>
      <c r="G4" s="91" t="b">
        <v>0</v>
      </c>
      <c r="H4" s="91" t="b">
        <v>0</v>
      </c>
      <c r="I4" s="91" t="b">
        <v>0</v>
      </c>
      <c r="J4" s="91" t="b">
        <v>0</v>
      </c>
      <c r="K4" s="91" t="b">
        <v>0</v>
      </c>
      <c r="L4" s="91" t="b">
        <v>0</v>
      </c>
    </row>
    <row r="5" spans="1:12" ht="15">
      <c r="A5" s="91" t="s">
        <v>457</v>
      </c>
      <c r="B5" s="91" t="s">
        <v>390</v>
      </c>
      <c r="C5" s="91">
        <v>2</v>
      </c>
      <c r="D5" s="130">
        <v>0.011360029874277677</v>
      </c>
      <c r="E5" s="130">
        <v>1.1931245983544616</v>
      </c>
      <c r="F5" s="91" t="s">
        <v>464</v>
      </c>
      <c r="G5" s="91" t="b">
        <v>0</v>
      </c>
      <c r="H5" s="91" t="b">
        <v>0</v>
      </c>
      <c r="I5" s="91" t="b">
        <v>0</v>
      </c>
      <c r="J5" s="91" t="b">
        <v>0</v>
      </c>
      <c r="K5" s="91" t="b">
        <v>0</v>
      </c>
      <c r="L5" s="91" t="b">
        <v>0</v>
      </c>
    </row>
    <row r="6" spans="1:12" ht="15">
      <c r="A6" s="91" t="s">
        <v>390</v>
      </c>
      <c r="B6" s="91" t="s">
        <v>379</v>
      </c>
      <c r="C6" s="91">
        <v>2</v>
      </c>
      <c r="D6" s="130">
        <v>0.018527410723420085</v>
      </c>
      <c r="E6" s="130">
        <v>0.8920946026904805</v>
      </c>
      <c r="F6" s="91" t="s">
        <v>464</v>
      </c>
      <c r="G6" s="91" t="b">
        <v>0</v>
      </c>
      <c r="H6" s="91" t="b">
        <v>0</v>
      </c>
      <c r="I6" s="91" t="b">
        <v>0</v>
      </c>
      <c r="J6" s="91" t="b">
        <v>0</v>
      </c>
      <c r="K6" s="91" t="b">
        <v>0</v>
      </c>
      <c r="L6" s="91" t="b">
        <v>0</v>
      </c>
    </row>
    <row r="7" spans="1:12" ht="15">
      <c r="A7" s="91" t="s">
        <v>459</v>
      </c>
      <c r="B7" s="91" t="s">
        <v>390</v>
      </c>
      <c r="C7" s="91">
        <v>2</v>
      </c>
      <c r="D7" s="130">
        <v>0.011360029874277677</v>
      </c>
      <c r="E7" s="130">
        <v>1.1931245983544616</v>
      </c>
      <c r="F7" s="91" t="s">
        <v>464</v>
      </c>
      <c r="G7" s="91" t="b">
        <v>0</v>
      </c>
      <c r="H7" s="91" t="b">
        <v>0</v>
      </c>
      <c r="I7" s="91" t="b">
        <v>0</v>
      </c>
      <c r="J7" s="91" t="b">
        <v>0</v>
      </c>
      <c r="K7" s="91" t="b">
        <v>0</v>
      </c>
      <c r="L7" s="91" t="b">
        <v>0</v>
      </c>
    </row>
    <row r="8" spans="1:12" ht="15">
      <c r="A8" s="91" t="s">
        <v>394</v>
      </c>
      <c r="B8" s="91" t="s">
        <v>397</v>
      </c>
      <c r="C8" s="91">
        <v>2</v>
      </c>
      <c r="D8" s="130">
        <v>0.011360029874277677</v>
      </c>
      <c r="E8" s="130">
        <v>1.1931245983544616</v>
      </c>
      <c r="F8" s="91" t="s">
        <v>464</v>
      </c>
      <c r="G8" s="91" t="b">
        <v>0</v>
      </c>
      <c r="H8" s="91" t="b">
        <v>0</v>
      </c>
      <c r="I8" s="91" t="b">
        <v>0</v>
      </c>
      <c r="J8" s="91" t="b">
        <v>0</v>
      </c>
      <c r="K8" s="91" t="b">
        <v>0</v>
      </c>
      <c r="L8" s="91" t="b">
        <v>0</v>
      </c>
    </row>
    <row r="9" spans="1:12" ht="15">
      <c r="A9" s="91" t="s">
        <v>397</v>
      </c>
      <c r="B9" s="91" t="s">
        <v>398</v>
      </c>
      <c r="C9" s="91">
        <v>2</v>
      </c>
      <c r="D9" s="130">
        <v>0.011360029874277677</v>
      </c>
      <c r="E9" s="130">
        <v>1.591064607026499</v>
      </c>
      <c r="F9" s="91" t="s">
        <v>464</v>
      </c>
      <c r="G9" s="91" t="b">
        <v>0</v>
      </c>
      <c r="H9" s="91" t="b">
        <v>0</v>
      </c>
      <c r="I9" s="91" t="b">
        <v>0</v>
      </c>
      <c r="J9" s="91" t="b">
        <v>0</v>
      </c>
      <c r="K9" s="91" t="b">
        <v>0</v>
      </c>
      <c r="L9" s="91" t="b">
        <v>0</v>
      </c>
    </row>
    <row r="10" spans="1:12" ht="15">
      <c r="A10" s="91" t="s">
        <v>398</v>
      </c>
      <c r="B10" s="91" t="s">
        <v>399</v>
      </c>
      <c r="C10" s="91">
        <v>2</v>
      </c>
      <c r="D10" s="130">
        <v>0.011360029874277677</v>
      </c>
      <c r="E10" s="130">
        <v>1.591064607026499</v>
      </c>
      <c r="F10" s="91" t="s">
        <v>464</v>
      </c>
      <c r="G10" s="91" t="b">
        <v>0</v>
      </c>
      <c r="H10" s="91" t="b">
        <v>0</v>
      </c>
      <c r="I10" s="91" t="b">
        <v>0</v>
      </c>
      <c r="J10" s="91" t="b">
        <v>0</v>
      </c>
      <c r="K10" s="91" t="b">
        <v>0</v>
      </c>
      <c r="L10" s="91" t="b">
        <v>0</v>
      </c>
    </row>
    <row r="11" spans="1:12" ht="15">
      <c r="A11" s="91" t="s">
        <v>399</v>
      </c>
      <c r="B11" s="91" t="s">
        <v>396</v>
      </c>
      <c r="C11" s="91">
        <v>2</v>
      </c>
      <c r="D11" s="130">
        <v>0.011360029874277677</v>
      </c>
      <c r="E11" s="130">
        <v>1.414973347970818</v>
      </c>
      <c r="F11" s="91" t="s">
        <v>464</v>
      </c>
      <c r="G11" s="91" t="b">
        <v>0</v>
      </c>
      <c r="H11" s="91" t="b">
        <v>0</v>
      </c>
      <c r="I11" s="91" t="b">
        <v>0</v>
      </c>
      <c r="J11" s="91" t="b">
        <v>0</v>
      </c>
      <c r="K11" s="91" t="b">
        <v>0</v>
      </c>
      <c r="L11" s="91" t="b">
        <v>0</v>
      </c>
    </row>
    <row r="12" spans="1:12" ht="15">
      <c r="A12" s="91" t="s">
        <v>396</v>
      </c>
      <c r="B12" s="91" t="s">
        <v>460</v>
      </c>
      <c r="C12" s="91">
        <v>2</v>
      </c>
      <c r="D12" s="130">
        <v>0.011360029874277677</v>
      </c>
      <c r="E12" s="130">
        <v>1.414973347970818</v>
      </c>
      <c r="F12" s="91" t="s">
        <v>464</v>
      </c>
      <c r="G12" s="91" t="b">
        <v>0</v>
      </c>
      <c r="H12" s="91" t="b">
        <v>0</v>
      </c>
      <c r="I12" s="91" t="b">
        <v>0</v>
      </c>
      <c r="J12" s="91" t="b">
        <v>0</v>
      </c>
      <c r="K12" s="91" t="b">
        <v>0</v>
      </c>
      <c r="L12" s="91" t="b">
        <v>0</v>
      </c>
    </row>
    <row r="13" spans="1:12" ht="15">
      <c r="A13" s="91" t="s">
        <v>460</v>
      </c>
      <c r="B13" s="91" t="s">
        <v>461</v>
      </c>
      <c r="C13" s="91">
        <v>2</v>
      </c>
      <c r="D13" s="130">
        <v>0.011360029874277677</v>
      </c>
      <c r="E13" s="130">
        <v>1.591064607026499</v>
      </c>
      <c r="F13" s="91" t="s">
        <v>464</v>
      </c>
      <c r="G13" s="91" t="b">
        <v>0</v>
      </c>
      <c r="H13" s="91" t="b">
        <v>0</v>
      </c>
      <c r="I13" s="91" t="b">
        <v>0</v>
      </c>
      <c r="J13" s="91" t="b">
        <v>0</v>
      </c>
      <c r="K13" s="91" t="b">
        <v>0</v>
      </c>
      <c r="L13" s="91" t="b">
        <v>0</v>
      </c>
    </row>
    <row r="14" spans="1:12" ht="15">
      <c r="A14" s="91" t="s">
        <v>391</v>
      </c>
      <c r="B14" s="91" t="s">
        <v>392</v>
      </c>
      <c r="C14" s="91">
        <v>4</v>
      </c>
      <c r="D14" s="130">
        <v>0.005310137699071584</v>
      </c>
      <c r="E14" s="130">
        <v>1.2304489213782739</v>
      </c>
      <c r="F14" s="91" t="s">
        <v>351</v>
      </c>
      <c r="G14" s="91" t="b">
        <v>0</v>
      </c>
      <c r="H14" s="91" t="b">
        <v>0</v>
      </c>
      <c r="I14" s="91" t="b">
        <v>0</v>
      </c>
      <c r="J14" s="91" t="b">
        <v>0</v>
      </c>
      <c r="K14" s="91" t="b">
        <v>0</v>
      </c>
      <c r="L14" s="91" t="b">
        <v>0</v>
      </c>
    </row>
    <row r="15" spans="1:12" ht="15">
      <c r="A15" s="91" t="s">
        <v>392</v>
      </c>
      <c r="B15" s="91" t="s">
        <v>393</v>
      </c>
      <c r="C15" s="91">
        <v>4</v>
      </c>
      <c r="D15" s="130">
        <v>0.005310137699071584</v>
      </c>
      <c r="E15" s="130">
        <v>1.2304489213782739</v>
      </c>
      <c r="F15" s="91" t="s">
        <v>351</v>
      </c>
      <c r="G15" s="91" t="b">
        <v>0</v>
      </c>
      <c r="H15" s="91" t="b">
        <v>0</v>
      </c>
      <c r="I15" s="91" t="b">
        <v>0</v>
      </c>
      <c r="J15" s="91" t="b">
        <v>0</v>
      </c>
      <c r="K15" s="91" t="b">
        <v>0</v>
      </c>
      <c r="L15" s="91" t="b">
        <v>0</v>
      </c>
    </row>
    <row r="16" spans="1:12" ht="15">
      <c r="A16" s="91" t="s">
        <v>393</v>
      </c>
      <c r="B16" s="91" t="s">
        <v>394</v>
      </c>
      <c r="C16" s="91">
        <v>4</v>
      </c>
      <c r="D16" s="130">
        <v>0.005310137699071584</v>
      </c>
      <c r="E16" s="130">
        <v>1.2304489213782739</v>
      </c>
      <c r="F16" s="91" t="s">
        <v>351</v>
      </c>
      <c r="G16" s="91" t="b">
        <v>0</v>
      </c>
      <c r="H16" s="91" t="b">
        <v>0</v>
      </c>
      <c r="I16" s="91" t="b">
        <v>0</v>
      </c>
      <c r="J16" s="91" t="b">
        <v>0</v>
      </c>
      <c r="K16" s="91" t="b">
        <v>0</v>
      </c>
      <c r="L16" s="91" t="b">
        <v>0</v>
      </c>
    </row>
    <row r="17" spans="1:12" ht="15">
      <c r="A17" s="91" t="s">
        <v>394</v>
      </c>
      <c r="B17" s="91" t="s">
        <v>397</v>
      </c>
      <c r="C17" s="91">
        <v>2</v>
      </c>
      <c r="D17" s="130">
        <v>0.010902465991014729</v>
      </c>
      <c r="E17" s="130">
        <v>1.2304489213782739</v>
      </c>
      <c r="F17" s="91" t="s">
        <v>351</v>
      </c>
      <c r="G17" s="91" t="b">
        <v>0</v>
      </c>
      <c r="H17" s="91" t="b">
        <v>0</v>
      </c>
      <c r="I17" s="91" t="b">
        <v>0</v>
      </c>
      <c r="J17" s="91" t="b">
        <v>0</v>
      </c>
      <c r="K17" s="91" t="b">
        <v>0</v>
      </c>
      <c r="L17" s="91" t="b">
        <v>0</v>
      </c>
    </row>
    <row r="18" spans="1:12" ht="15">
      <c r="A18" s="91" t="s">
        <v>397</v>
      </c>
      <c r="B18" s="91" t="s">
        <v>398</v>
      </c>
      <c r="C18" s="91">
        <v>2</v>
      </c>
      <c r="D18" s="130">
        <v>0.010902465991014729</v>
      </c>
      <c r="E18" s="130">
        <v>1.5314789170422551</v>
      </c>
      <c r="F18" s="91" t="s">
        <v>351</v>
      </c>
      <c r="G18" s="91" t="b">
        <v>0</v>
      </c>
      <c r="H18" s="91" t="b">
        <v>0</v>
      </c>
      <c r="I18" s="91" t="b">
        <v>0</v>
      </c>
      <c r="J18" s="91" t="b">
        <v>0</v>
      </c>
      <c r="K18" s="91" t="b">
        <v>0</v>
      </c>
      <c r="L18" s="91" t="b">
        <v>0</v>
      </c>
    </row>
    <row r="19" spans="1:12" ht="15">
      <c r="A19" s="91" t="s">
        <v>398</v>
      </c>
      <c r="B19" s="91" t="s">
        <v>399</v>
      </c>
      <c r="C19" s="91">
        <v>2</v>
      </c>
      <c r="D19" s="130">
        <v>0.010902465991014729</v>
      </c>
      <c r="E19" s="130">
        <v>1.5314789170422551</v>
      </c>
      <c r="F19" s="91" t="s">
        <v>351</v>
      </c>
      <c r="G19" s="91" t="b">
        <v>0</v>
      </c>
      <c r="H19" s="91" t="b">
        <v>0</v>
      </c>
      <c r="I19" s="91" t="b">
        <v>0</v>
      </c>
      <c r="J19" s="91" t="b">
        <v>0</v>
      </c>
      <c r="K19" s="91" t="b">
        <v>0</v>
      </c>
      <c r="L19" s="91" t="b">
        <v>0</v>
      </c>
    </row>
    <row r="20" spans="1:12" ht="15">
      <c r="A20" s="91" t="s">
        <v>399</v>
      </c>
      <c r="B20" s="91" t="s">
        <v>396</v>
      </c>
      <c r="C20" s="91">
        <v>2</v>
      </c>
      <c r="D20" s="130">
        <v>0.010902465991014729</v>
      </c>
      <c r="E20" s="130">
        <v>1.3553876579865738</v>
      </c>
      <c r="F20" s="91" t="s">
        <v>351</v>
      </c>
      <c r="G20" s="91" t="b">
        <v>0</v>
      </c>
      <c r="H20" s="91" t="b">
        <v>0</v>
      </c>
      <c r="I20" s="91" t="b">
        <v>0</v>
      </c>
      <c r="J20" s="91" t="b">
        <v>0</v>
      </c>
      <c r="K20" s="91" t="b">
        <v>0</v>
      </c>
      <c r="L20" s="91" t="b">
        <v>0</v>
      </c>
    </row>
    <row r="21" spans="1:12" ht="15">
      <c r="A21" s="91" t="s">
        <v>396</v>
      </c>
      <c r="B21" s="91" t="s">
        <v>460</v>
      </c>
      <c r="C21" s="91">
        <v>2</v>
      </c>
      <c r="D21" s="130">
        <v>0.010902465991014729</v>
      </c>
      <c r="E21" s="130">
        <v>1.3553876579865738</v>
      </c>
      <c r="F21" s="91" t="s">
        <v>351</v>
      </c>
      <c r="G21" s="91" t="b">
        <v>0</v>
      </c>
      <c r="H21" s="91" t="b">
        <v>0</v>
      </c>
      <c r="I21" s="91" t="b">
        <v>0</v>
      </c>
      <c r="J21" s="91" t="b">
        <v>0</v>
      </c>
      <c r="K21" s="91" t="b">
        <v>0</v>
      </c>
      <c r="L21" s="91" t="b">
        <v>0</v>
      </c>
    </row>
    <row r="22" spans="1:12" ht="15">
      <c r="A22" s="91" t="s">
        <v>460</v>
      </c>
      <c r="B22" s="91" t="s">
        <v>461</v>
      </c>
      <c r="C22" s="91">
        <v>2</v>
      </c>
      <c r="D22" s="130">
        <v>0.010902465991014729</v>
      </c>
      <c r="E22" s="130">
        <v>1.5314789170422551</v>
      </c>
      <c r="F22" s="91" t="s">
        <v>351</v>
      </c>
      <c r="G22" s="91" t="b">
        <v>0</v>
      </c>
      <c r="H22" s="91" t="b">
        <v>0</v>
      </c>
      <c r="I22" s="91" t="b">
        <v>0</v>
      </c>
      <c r="J22" s="91" t="b">
        <v>0</v>
      </c>
      <c r="K22" s="91" t="b">
        <v>0</v>
      </c>
      <c r="L22" s="91" t="b">
        <v>0</v>
      </c>
    </row>
    <row r="23" spans="1:12" ht="15">
      <c r="A23" s="91" t="s">
        <v>457</v>
      </c>
      <c r="B23" s="91" t="s">
        <v>390</v>
      </c>
      <c r="C23" s="91">
        <v>2</v>
      </c>
      <c r="D23" s="130">
        <v>0.010902465991014729</v>
      </c>
      <c r="E23" s="130">
        <v>1.1335389083702174</v>
      </c>
      <c r="F23" s="91" t="s">
        <v>351</v>
      </c>
      <c r="G23" s="91" t="b">
        <v>0</v>
      </c>
      <c r="H23" s="91" t="b">
        <v>0</v>
      </c>
      <c r="I23" s="91" t="b">
        <v>0</v>
      </c>
      <c r="J23" s="91" t="b">
        <v>0</v>
      </c>
      <c r="K23" s="91" t="b">
        <v>0</v>
      </c>
      <c r="L23" s="91" t="b">
        <v>0</v>
      </c>
    </row>
    <row r="24" spans="1:12" ht="15">
      <c r="A24" s="91" t="s">
        <v>390</v>
      </c>
      <c r="B24" s="91" t="s">
        <v>379</v>
      </c>
      <c r="C24" s="91">
        <v>2</v>
      </c>
      <c r="D24" s="130">
        <v>0.019149863132493665</v>
      </c>
      <c r="E24" s="130">
        <v>0.8325089127062363</v>
      </c>
      <c r="F24" s="91" t="s">
        <v>351</v>
      </c>
      <c r="G24" s="91" t="b">
        <v>0</v>
      </c>
      <c r="H24" s="91" t="b">
        <v>0</v>
      </c>
      <c r="I24" s="91" t="b">
        <v>0</v>
      </c>
      <c r="J24" s="91" t="b">
        <v>0</v>
      </c>
      <c r="K24" s="91" t="b">
        <v>0</v>
      </c>
      <c r="L24" s="91" t="b">
        <v>0</v>
      </c>
    </row>
    <row r="25" spans="1:12" ht="15">
      <c r="A25" s="91" t="s">
        <v>459</v>
      </c>
      <c r="B25" s="91" t="s">
        <v>390</v>
      </c>
      <c r="C25" s="91">
        <v>2</v>
      </c>
      <c r="D25" s="130">
        <v>0.010902465991014729</v>
      </c>
      <c r="E25" s="130">
        <v>1.1335389083702174</v>
      </c>
      <c r="F25" s="91" t="s">
        <v>351</v>
      </c>
      <c r="G25" s="91" t="b">
        <v>0</v>
      </c>
      <c r="H25" s="91" t="b">
        <v>0</v>
      </c>
      <c r="I25" s="91" t="b">
        <v>0</v>
      </c>
      <c r="J25" s="91" t="b">
        <v>0</v>
      </c>
      <c r="K25" s="91" t="b">
        <v>0</v>
      </c>
      <c r="L2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488</v>
      </c>
      <c r="B2" s="133" t="s">
        <v>489</v>
      </c>
      <c r="C2" s="67" t="s">
        <v>490</v>
      </c>
    </row>
    <row r="3" spans="1:3" ht="15">
      <c r="A3" s="132" t="s">
        <v>351</v>
      </c>
      <c r="B3" s="132" t="s">
        <v>351</v>
      </c>
      <c r="C3" s="36">
        <v>5</v>
      </c>
    </row>
    <row r="4" spans="1:3" ht="15">
      <c r="A4" s="132" t="s">
        <v>352</v>
      </c>
      <c r="B4" s="132" t="s">
        <v>352</v>
      </c>
      <c r="C4"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496</v>
      </c>
      <c r="B1" s="13" t="s">
        <v>17</v>
      </c>
    </row>
    <row r="2" spans="1:2" ht="15">
      <c r="A2" s="85" t="s">
        <v>497</v>
      </c>
      <c r="B2" s="85" t="s">
        <v>503</v>
      </c>
    </row>
    <row r="3" spans="1:2" ht="15">
      <c r="A3" s="85" t="s">
        <v>498</v>
      </c>
      <c r="B3" s="85" t="s">
        <v>504</v>
      </c>
    </row>
    <row r="4" spans="1:2" ht="15">
      <c r="A4" s="85" t="s">
        <v>499</v>
      </c>
      <c r="B4" s="85" t="s">
        <v>505</v>
      </c>
    </row>
    <row r="5" spans="1:2" ht="15">
      <c r="A5" s="85" t="s">
        <v>500</v>
      </c>
      <c r="B5" s="85" t="s">
        <v>506</v>
      </c>
    </row>
    <row r="6" spans="1:2" ht="15">
      <c r="A6" s="85" t="s">
        <v>501</v>
      </c>
      <c r="B6" s="85" t="s">
        <v>507</v>
      </c>
    </row>
    <row r="7" spans="1:2" ht="15">
      <c r="A7" s="85" t="s">
        <v>502</v>
      </c>
      <c r="B7" s="85" t="s">
        <v>504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350</v>
      </c>
      <c r="BB2" s="13" t="s">
        <v>356</v>
      </c>
      <c r="BC2" s="13" t="s">
        <v>357</v>
      </c>
      <c r="BD2" s="67" t="s">
        <v>477</v>
      </c>
      <c r="BE2" s="67" t="s">
        <v>478</v>
      </c>
      <c r="BF2" s="67" t="s">
        <v>479</v>
      </c>
      <c r="BG2" s="67" t="s">
        <v>480</v>
      </c>
      <c r="BH2" s="67" t="s">
        <v>481</v>
      </c>
      <c r="BI2" s="67" t="s">
        <v>482</v>
      </c>
      <c r="BJ2" s="67" t="s">
        <v>483</v>
      </c>
      <c r="BK2" s="67" t="s">
        <v>484</v>
      </c>
      <c r="BL2" s="67" t="s">
        <v>485</v>
      </c>
    </row>
    <row r="3" spans="1:64" ht="15" customHeight="1">
      <c r="A3" s="84" t="s">
        <v>212</v>
      </c>
      <c r="B3" s="84" t="s">
        <v>212</v>
      </c>
      <c r="C3" s="53"/>
      <c r="D3" s="54"/>
      <c r="E3" s="65"/>
      <c r="F3" s="55"/>
      <c r="G3" s="53"/>
      <c r="H3" s="57"/>
      <c r="I3" s="56"/>
      <c r="J3" s="56"/>
      <c r="K3" s="36" t="s">
        <v>65</v>
      </c>
      <c r="L3" s="62">
        <v>3</v>
      </c>
      <c r="M3" s="62"/>
      <c r="N3" s="63"/>
      <c r="O3" s="85" t="s">
        <v>176</v>
      </c>
      <c r="P3" s="87">
        <v>43661.77798611111</v>
      </c>
      <c r="Q3" s="85" t="s">
        <v>218</v>
      </c>
      <c r="R3" s="89" t="s">
        <v>223</v>
      </c>
      <c r="S3" s="85" t="s">
        <v>228</v>
      </c>
      <c r="T3" s="85"/>
      <c r="U3" s="85"/>
      <c r="V3" s="89" t="s">
        <v>236</v>
      </c>
      <c r="W3" s="87">
        <v>43661.77798611111</v>
      </c>
      <c r="X3" s="89" t="s">
        <v>239</v>
      </c>
      <c r="Y3" s="85"/>
      <c r="Z3" s="85"/>
      <c r="AA3" s="91" t="s">
        <v>245</v>
      </c>
      <c r="AB3" s="85"/>
      <c r="AC3" s="85" t="b">
        <v>0</v>
      </c>
      <c r="AD3" s="85">
        <v>0</v>
      </c>
      <c r="AE3" s="91" t="s">
        <v>251</v>
      </c>
      <c r="AF3" s="85" t="b">
        <v>0</v>
      </c>
      <c r="AG3" s="85" t="s">
        <v>253</v>
      </c>
      <c r="AH3" s="85"/>
      <c r="AI3" s="91" t="s">
        <v>251</v>
      </c>
      <c r="AJ3" s="85" t="b">
        <v>0</v>
      </c>
      <c r="AK3" s="85">
        <v>0</v>
      </c>
      <c r="AL3" s="91" t="s">
        <v>251</v>
      </c>
      <c r="AM3" s="85" t="s">
        <v>254</v>
      </c>
      <c r="AN3" s="85" t="b">
        <v>0</v>
      </c>
      <c r="AO3" s="91" t="s">
        <v>245</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0</v>
      </c>
      <c r="BE3" s="52">
        <v>0</v>
      </c>
      <c r="BF3" s="51">
        <v>0</v>
      </c>
      <c r="BG3" s="52">
        <v>0</v>
      </c>
      <c r="BH3" s="51">
        <v>0</v>
      </c>
      <c r="BI3" s="52">
        <v>0</v>
      </c>
      <c r="BJ3" s="51">
        <v>11</v>
      </c>
      <c r="BK3" s="52">
        <v>100</v>
      </c>
      <c r="BL3" s="51">
        <v>11</v>
      </c>
    </row>
    <row r="4" spans="1:64" ht="15" customHeight="1">
      <c r="A4" s="84" t="s">
        <v>213</v>
      </c>
      <c r="B4" s="84" t="s">
        <v>213</v>
      </c>
      <c r="C4" s="53"/>
      <c r="D4" s="54"/>
      <c r="E4" s="65"/>
      <c r="F4" s="55"/>
      <c r="G4" s="53"/>
      <c r="H4" s="57"/>
      <c r="I4" s="56"/>
      <c r="J4" s="56"/>
      <c r="K4" s="36" t="s">
        <v>65</v>
      </c>
      <c r="L4" s="83">
        <v>4</v>
      </c>
      <c r="M4" s="83"/>
      <c r="N4" s="63"/>
      <c r="O4" s="86" t="s">
        <v>176</v>
      </c>
      <c r="P4" s="88">
        <v>43660.552303240744</v>
      </c>
      <c r="Q4" s="86" t="s">
        <v>219</v>
      </c>
      <c r="R4" s="86" t="s">
        <v>224</v>
      </c>
      <c r="S4" s="86" t="s">
        <v>229</v>
      </c>
      <c r="T4" s="86" t="s">
        <v>233</v>
      </c>
      <c r="U4" s="86"/>
      <c r="V4" s="90" t="s">
        <v>237</v>
      </c>
      <c r="W4" s="88">
        <v>43660.552303240744</v>
      </c>
      <c r="X4" s="90" t="s">
        <v>240</v>
      </c>
      <c r="Y4" s="86"/>
      <c r="Z4" s="86"/>
      <c r="AA4" s="92" t="s">
        <v>246</v>
      </c>
      <c r="AB4" s="86"/>
      <c r="AC4" s="86" t="b">
        <v>0</v>
      </c>
      <c r="AD4" s="86">
        <v>0</v>
      </c>
      <c r="AE4" s="92" t="s">
        <v>251</v>
      </c>
      <c r="AF4" s="86" t="b">
        <v>0</v>
      </c>
      <c r="AG4" s="86" t="s">
        <v>253</v>
      </c>
      <c r="AH4" s="86"/>
      <c r="AI4" s="92" t="s">
        <v>251</v>
      </c>
      <c r="AJ4" s="86" t="b">
        <v>0</v>
      </c>
      <c r="AK4" s="86">
        <v>0</v>
      </c>
      <c r="AL4" s="92" t="s">
        <v>251</v>
      </c>
      <c r="AM4" s="86" t="s">
        <v>255</v>
      </c>
      <c r="AN4" s="86" t="b">
        <v>0</v>
      </c>
      <c r="AO4" s="92" t="s">
        <v>246</v>
      </c>
      <c r="AP4" s="86" t="s">
        <v>176</v>
      </c>
      <c r="AQ4" s="86">
        <v>0</v>
      </c>
      <c r="AR4" s="86">
        <v>0</v>
      </c>
      <c r="AS4" s="86"/>
      <c r="AT4" s="86"/>
      <c r="AU4" s="86"/>
      <c r="AV4" s="86"/>
      <c r="AW4" s="86"/>
      <c r="AX4" s="86"/>
      <c r="AY4" s="86"/>
      <c r="AZ4" s="86"/>
      <c r="BA4">
        <v>2</v>
      </c>
      <c r="BB4" s="85" t="str">
        <f>REPLACE(INDEX(GroupVertices[Group],MATCH(Edges25[[#This Row],[Vertex 1]],GroupVertices[Vertex],0)),1,1,"")</f>
        <v>1</v>
      </c>
      <c r="BC4" s="85" t="str">
        <f>REPLACE(INDEX(GroupVertices[Group],MATCH(Edges25[[#This Row],[Vertex 2]],GroupVertices[Vertex],0)),1,1,"")</f>
        <v>1</v>
      </c>
      <c r="BD4" s="51">
        <v>0</v>
      </c>
      <c r="BE4" s="52">
        <v>0</v>
      </c>
      <c r="BF4" s="51">
        <v>0</v>
      </c>
      <c r="BG4" s="52">
        <v>0</v>
      </c>
      <c r="BH4" s="51">
        <v>0</v>
      </c>
      <c r="BI4" s="52">
        <v>0</v>
      </c>
      <c r="BJ4" s="51">
        <v>11</v>
      </c>
      <c r="BK4" s="52">
        <v>100</v>
      </c>
      <c r="BL4" s="51">
        <v>11</v>
      </c>
    </row>
    <row r="5" spans="1:64" ht="15">
      <c r="A5" s="84" t="s">
        <v>213</v>
      </c>
      <c r="B5" s="84" t="s">
        <v>213</v>
      </c>
      <c r="C5" s="53"/>
      <c r="D5" s="54"/>
      <c r="E5" s="65"/>
      <c r="F5" s="55"/>
      <c r="G5" s="53"/>
      <c r="H5" s="57"/>
      <c r="I5" s="56"/>
      <c r="J5" s="56"/>
      <c r="K5" s="36" t="s">
        <v>65</v>
      </c>
      <c r="L5" s="83">
        <v>5</v>
      </c>
      <c r="M5" s="83"/>
      <c r="N5" s="63"/>
      <c r="O5" s="86" t="s">
        <v>176</v>
      </c>
      <c r="P5" s="88">
        <v>43671.53145833333</v>
      </c>
      <c r="Q5" s="86" t="s">
        <v>219</v>
      </c>
      <c r="R5" s="86" t="s">
        <v>224</v>
      </c>
      <c r="S5" s="86" t="s">
        <v>229</v>
      </c>
      <c r="T5" s="86" t="s">
        <v>233</v>
      </c>
      <c r="U5" s="86"/>
      <c r="V5" s="90" t="s">
        <v>237</v>
      </c>
      <c r="W5" s="88">
        <v>43671.53145833333</v>
      </c>
      <c r="X5" s="90" t="s">
        <v>241</v>
      </c>
      <c r="Y5" s="86"/>
      <c r="Z5" s="86"/>
      <c r="AA5" s="92" t="s">
        <v>247</v>
      </c>
      <c r="AB5" s="86"/>
      <c r="AC5" s="86" t="b">
        <v>0</v>
      </c>
      <c r="AD5" s="86">
        <v>0</v>
      </c>
      <c r="AE5" s="92" t="s">
        <v>251</v>
      </c>
      <c r="AF5" s="86" t="b">
        <v>0</v>
      </c>
      <c r="AG5" s="86" t="s">
        <v>253</v>
      </c>
      <c r="AH5" s="86"/>
      <c r="AI5" s="92" t="s">
        <v>251</v>
      </c>
      <c r="AJ5" s="86" t="b">
        <v>0</v>
      </c>
      <c r="AK5" s="86">
        <v>0</v>
      </c>
      <c r="AL5" s="92" t="s">
        <v>251</v>
      </c>
      <c r="AM5" s="86" t="s">
        <v>255</v>
      </c>
      <c r="AN5" s="86" t="b">
        <v>0</v>
      </c>
      <c r="AO5" s="92" t="s">
        <v>247</v>
      </c>
      <c r="AP5" s="86" t="s">
        <v>176</v>
      </c>
      <c r="AQ5" s="86">
        <v>0</v>
      </c>
      <c r="AR5" s="86">
        <v>0</v>
      </c>
      <c r="AS5" s="86"/>
      <c r="AT5" s="86"/>
      <c r="AU5" s="86"/>
      <c r="AV5" s="86"/>
      <c r="AW5" s="86"/>
      <c r="AX5" s="86"/>
      <c r="AY5" s="86"/>
      <c r="AZ5" s="86"/>
      <c r="BA5">
        <v>2</v>
      </c>
      <c r="BB5" s="85" t="str">
        <f>REPLACE(INDEX(GroupVertices[Group],MATCH(Edges25[[#This Row],[Vertex 1]],GroupVertices[Vertex],0)),1,1,"")</f>
        <v>1</v>
      </c>
      <c r="BC5" s="85" t="str">
        <f>REPLACE(INDEX(GroupVertices[Group],MATCH(Edges25[[#This Row],[Vertex 2]],GroupVertices[Vertex],0)),1,1,"")</f>
        <v>1</v>
      </c>
      <c r="BD5" s="51">
        <v>0</v>
      </c>
      <c r="BE5" s="52">
        <v>0</v>
      </c>
      <c r="BF5" s="51">
        <v>0</v>
      </c>
      <c r="BG5" s="52">
        <v>0</v>
      </c>
      <c r="BH5" s="51">
        <v>0</v>
      </c>
      <c r="BI5" s="52">
        <v>0</v>
      </c>
      <c r="BJ5" s="51">
        <v>11</v>
      </c>
      <c r="BK5" s="52">
        <v>100</v>
      </c>
      <c r="BL5" s="51">
        <v>11</v>
      </c>
    </row>
    <row r="6" spans="1:64" ht="15">
      <c r="A6" s="84" t="s">
        <v>214</v>
      </c>
      <c r="B6" s="84" t="s">
        <v>216</v>
      </c>
      <c r="C6" s="53"/>
      <c r="D6" s="54"/>
      <c r="E6" s="65"/>
      <c r="F6" s="55"/>
      <c r="G6" s="53"/>
      <c r="H6" s="57"/>
      <c r="I6" s="56"/>
      <c r="J6" s="56"/>
      <c r="K6" s="36" t="s">
        <v>65</v>
      </c>
      <c r="L6" s="83">
        <v>6</v>
      </c>
      <c r="M6" s="83"/>
      <c r="N6" s="63"/>
      <c r="O6" s="86" t="s">
        <v>217</v>
      </c>
      <c r="P6" s="88">
        <v>43677.97934027778</v>
      </c>
      <c r="Q6" s="86" t="s">
        <v>220</v>
      </c>
      <c r="R6" s="90" t="s">
        <v>225</v>
      </c>
      <c r="S6" s="86" t="s">
        <v>230</v>
      </c>
      <c r="T6" s="86" t="s">
        <v>234</v>
      </c>
      <c r="U6" s="90" t="s">
        <v>235</v>
      </c>
      <c r="V6" s="90" t="s">
        <v>235</v>
      </c>
      <c r="W6" s="88">
        <v>43677.97934027778</v>
      </c>
      <c r="X6" s="90" t="s">
        <v>242</v>
      </c>
      <c r="Y6" s="86"/>
      <c r="Z6" s="86"/>
      <c r="AA6" s="92" t="s">
        <v>248</v>
      </c>
      <c r="AB6" s="86"/>
      <c r="AC6" s="86" t="b">
        <v>0</v>
      </c>
      <c r="AD6" s="86">
        <v>0</v>
      </c>
      <c r="AE6" s="92" t="s">
        <v>252</v>
      </c>
      <c r="AF6" s="86" t="b">
        <v>0</v>
      </c>
      <c r="AG6" s="86" t="s">
        <v>253</v>
      </c>
      <c r="AH6" s="86"/>
      <c r="AI6" s="92" t="s">
        <v>251</v>
      </c>
      <c r="AJ6" s="86" t="b">
        <v>0</v>
      </c>
      <c r="AK6" s="86">
        <v>0</v>
      </c>
      <c r="AL6" s="92" t="s">
        <v>251</v>
      </c>
      <c r="AM6" s="86" t="s">
        <v>256</v>
      </c>
      <c r="AN6" s="86" t="b">
        <v>0</v>
      </c>
      <c r="AO6" s="92" t="s">
        <v>248</v>
      </c>
      <c r="AP6" s="86" t="s">
        <v>176</v>
      </c>
      <c r="AQ6" s="86">
        <v>0</v>
      </c>
      <c r="AR6" s="86">
        <v>0</v>
      </c>
      <c r="AS6" s="86"/>
      <c r="AT6" s="86"/>
      <c r="AU6" s="86"/>
      <c r="AV6" s="86"/>
      <c r="AW6" s="86"/>
      <c r="AX6" s="86"/>
      <c r="AY6" s="86"/>
      <c r="AZ6" s="86"/>
      <c r="BA6">
        <v>1</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13</v>
      </c>
      <c r="BK6" s="52">
        <v>100</v>
      </c>
      <c r="BL6" s="51">
        <v>13</v>
      </c>
    </row>
    <row r="7" spans="1:64" ht="15">
      <c r="A7" s="84" t="s">
        <v>215</v>
      </c>
      <c r="B7" s="84" t="s">
        <v>215</v>
      </c>
      <c r="C7" s="53"/>
      <c r="D7" s="54"/>
      <c r="E7" s="65"/>
      <c r="F7" s="55"/>
      <c r="G7" s="53"/>
      <c r="H7" s="57"/>
      <c r="I7" s="56"/>
      <c r="J7" s="56"/>
      <c r="K7" s="36" t="s">
        <v>65</v>
      </c>
      <c r="L7" s="83">
        <v>7</v>
      </c>
      <c r="M7" s="83"/>
      <c r="N7" s="63"/>
      <c r="O7" s="86" t="s">
        <v>176</v>
      </c>
      <c r="P7" s="88">
        <v>43665.91997685185</v>
      </c>
      <c r="Q7" s="86" t="s">
        <v>221</v>
      </c>
      <c r="R7" s="86" t="s">
        <v>226</v>
      </c>
      <c r="S7" s="86" t="s">
        <v>231</v>
      </c>
      <c r="T7" s="86"/>
      <c r="U7" s="86"/>
      <c r="V7" s="90" t="s">
        <v>238</v>
      </c>
      <c r="W7" s="88">
        <v>43665.91997685185</v>
      </c>
      <c r="X7" s="90" t="s">
        <v>243</v>
      </c>
      <c r="Y7" s="86"/>
      <c r="Z7" s="86"/>
      <c r="AA7" s="92" t="s">
        <v>249</v>
      </c>
      <c r="AB7" s="86"/>
      <c r="AC7" s="86" t="b">
        <v>0</v>
      </c>
      <c r="AD7" s="86">
        <v>0</v>
      </c>
      <c r="AE7" s="92" t="s">
        <v>251</v>
      </c>
      <c r="AF7" s="86" t="b">
        <v>0</v>
      </c>
      <c r="AG7" s="86" t="s">
        <v>253</v>
      </c>
      <c r="AH7" s="86"/>
      <c r="AI7" s="92" t="s">
        <v>251</v>
      </c>
      <c r="AJ7" s="86" t="b">
        <v>0</v>
      </c>
      <c r="AK7" s="86">
        <v>0</v>
      </c>
      <c r="AL7" s="92" t="s">
        <v>251</v>
      </c>
      <c r="AM7" s="86" t="s">
        <v>257</v>
      </c>
      <c r="AN7" s="86" t="b">
        <v>1</v>
      </c>
      <c r="AO7" s="92" t="s">
        <v>249</v>
      </c>
      <c r="AP7" s="86" t="s">
        <v>176</v>
      </c>
      <c r="AQ7" s="86">
        <v>0</v>
      </c>
      <c r="AR7" s="86">
        <v>0</v>
      </c>
      <c r="AS7" s="86"/>
      <c r="AT7" s="86"/>
      <c r="AU7" s="86"/>
      <c r="AV7" s="86"/>
      <c r="AW7" s="86"/>
      <c r="AX7" s="86"/>
      <c r="AY7" s="86"/>
      <c r="AZ7" s="86"/>
      <c r="BA7">
        <v>2</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19</v>
      </c>
      <c r="BK7" s="52">
        <v>100</v>
      </c>
      <c r="BL7" s="51">
        <v>19</v>
      </c>
    </row>
    <row r="8" spans="1:64" ht="15">
      <c r="A8" s="84" t="s">
        <v>215</v>
      </c>
      <c r="B8" s="84" t="s">
        <v>215</v>
      </c>
      <c r="C8" s="53"/>
      <c r="D8" s="54"/>
      <c r="E8" s="65"/>
      <c r="F8" s="55"/>
      <c r="G8" s="53"/>
      <c r="H8" s="57"/>
      <c r="I8" s="56"/>
      <c r="J8" s="56"/>
      <c r="K8" s="36" t="s">
        <v>65</v>
      </c>
      <c r="L8" s="83">
        <v>8</v>
      </c>
      <c r="M8" s="83"/>
      <c r="N8" s="63"/>
      <c r="O8" s="86" t="s">
        <v>176</v>
      </c>
      <c r="P8" s="88">
        <v>43685.814351851855</v>
      </c>
      <c r="Q8" s="86" t="s">
        <v>222</v>
      </c>
      <c r="R8" s="90" t="s">
        <v>227</v>
      </c>
      <c r="S8" s="86" t="s">
        <v>232</v>
      </c>
      <c r="T8" s="86"/>
      <c r="U8" s="86"/>
      <c r="V8" s="90" t="s">
        <v>238</v>
      </c>
      <c r="W8" s="88">
        <v>43685.814351851855</v>
      </c>
      <c r="X8" s="90" t="s">
        <v>244</v>
      </c>
      <c r="Y8" s="86"/>
      <c r="Z8" s="86"/>
      <c r="AA8" s="92" t="s">
        <v>250</v>
      </c>
      <c r="AB8" s="86"/>
      <c r="AC8" s="86" t="b">
        <v>0</v>
      </c>
      <c r="AD8" s="86">
        <v>0</v>
      </c>
      <c r="AE8" s="92" t="s">
        <v>251</v>
      </c>
      <c r="AF8" s="86" t="b">
        <v>0</v>
      </c>
      <c r="AG8" s="86" t="s">
        <v>253</v>
      </c>
      <c r="AH8" s="86"/>
      <c r="AI8" s="92" t="s">
        <v>251</v>
      </c>
      <c r="AJ8" s="86" t="b">
        <v>0</v>
      </c>
      <c r="AK8" s="86">
        <v>0</v>
      </c>
      <c r="AL8" s="92" t="s">
        <v>251</v>
      </c>
      <c r="AM8" s="86" t="s">
        <v>257</v>
      </c>
      <c r="AN8" s="86" t="b">
        <v>0</v>
      </c>
      <c r="AO8" s="92" t="s">
        <v>250</v>
      </c>
      <c r="AP8" s="86" t="s">
        <v>176</v>
      </c>
      <c r="AQ8" s="86">
        <v>0</v>
      </c>
      <c r="AR8" s="86">
        <v>0</v>
      </c>
      <c r="AS8" s="86"/>
      <c r="AT8" s="86"/>
      <c r="AU8" s="86"/>
      <c r="AV8" s="86"/>
      <c r="AW8" s="86"/>
      <c r="AX8" s="86"/>
      <c r="AY8" s="86"/>
      <c r="AZ8" s="86"/>
      <c r="BA8">
        <v>2</v>
      </c>
      <c r="BB8" s="85" t="str">
        <f>REPLACE(INDEX(GroupVertices[Group],MATCH(Edges25[[#This Row],[Vertex 1]],GroupVertices[Vertex],0)),1,1,"")</f>
        <v>1</v>
      </c>
      <c r="BC8" s="85" t="str">
        <f>REPLACE(INDEX(GroupVertices[Group],MATCH(Edges25[[#This Row],[Vertex 2]],GroupVertices[Vertex],0)),1,1,"")</f>
        <v>1</v>
      </c>
      <c r="BD8" s="51">
        <v>2</v>
      </c>
      <c r="BE8" s="52">
        <v>4.545454545454546</v>
      </c>
      <c r="BF8" s="51">
        <v>1</v>
      </c>
      <c r="BG8" s="52">
        <v>2.272727272727273</v>
      </c>
      <c r="BH8" s="51">
        <v>0</v>
      </c>
      <c r="BI8" s="52">
        <v>0</v>
      </c>
      <c r="BJ8" s="51">
        <v>41</v>
      </c>
      <c r="BK8" s="52">
        <v>93.18181818181819</v>
      </c>
      <c r="BL8" s="51">
        <v>44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hyperlinks>
    <hyperlink ref="R3" r:id="rId1" display="https://pages.questexweb.com/FierceWireless-MWCA2019.html"/>
    <hyperlink ref="R6" r:id="rId2" display="https://www.businesswire.com/news/home/20180830005135/en/Cradlepoint-Co-Sponsors-'Pathway-5G'-Panel-Mobile-World?es_p=9776008"/>
    <hyperlink ref="R8" r:id="rId3" display="https://arstechnica.com/?p=1548369"/>
    <hyperlink ref="U6" r:id="rId4" display="https://pbs.twimg.com/media/EA10aqPWsAEUO8J.png"/>
    <hyperlink ref="V3" r:id="rId5" display="http://pbs.twimg.com/profile_images/1098593603604176896/MdlK2Dxm_normal.jpg"/>
    <hyperlink ref="V4" r:id="rId6" display="http://pbs.twimg.com/profile_images/873636826891694080/h7j4lC5K_normal.jpg"/>
    <hyperlink ref="V5" r:id="rId7" display="http://pbs.twimg.com/profile_images/873636826891694080/h7j4lC5K_normal.jpg"/>
    <hyperlink ref="V6" r:id="rId8" display="https://pbs.twimg.com/media/EA10aqPWsAEUO8J.png"/>
    <hyperlink ref="V7" r:id="rId9" display="http://pbs.twimg.com/profile_images/3384826748/794c98b6b045fca3693aa02a03bcaa5e_normal.jpeg"/>
    <hyperlink ref="V8" r:id="rId10" display="http://pbs.twimg.com/profile_images/3384826748/794c98b6b045fca3693aa02a03bcaa5e_normal.jpeg"/>
    <hyperlink ref="X3" r:id="rId11" display="https://twitter.com/#!/shaaliliton1/status/1150837508910882816"/>
    <hyperlink ref="X4" r:id="rId12" display="https://twitter.com/#!/pyvnts/status/1150393335099604993"/>
    <hyperlink ref="X5" r:id="rId13" display="https://twitter.com/#!/pyvnts/status/1154372048237584384"/>
    <hyperlink ref="X6" r:id="rId14" display="https://twitter.com/#!/mattthueson/status/1156708682408890373"/>
    <hyperlink ref="X7" r:id="rId15" display="https://twitter.com/#!/rss_feed_reader/status/1152338518649245696"/>
    <hyperlink ref="X8" r:id="rId16" display="https://twitter.com/#!/rss_feed_reader/status/1159547996918484993"/>
  </hyperlinks>
  <printOptions/>
  <pageMargins left="0.7" right="0.7" top="0.75" bottom="0.75" header="0.3" footer="0.3"/>
  <pageSetup horizontalDpi="600" verticalDpi="600" orientation="portrait" r:id="rId20"/>
  <legacyDrawing r:id="rId18"/>
  <tableParts>
    <tablePart r:id="rId1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508</v>
      </c>
      <c r="B1" s="13" t="s">
        <v>34</v>
      </c>
    </row>
    <row r="2" spans="1:2" ht="15">
      <c r="A2" s="124" t="s">
        <v>216</v>
      </c>
      <c r="B2" s="85">
        <v>0</v>
      </c>
    </row>
    <row r="3" spans="1:2" ht="15">
      <c r="A3" s="124" t="s">
        <v>215</v>
      </c>
      <c r="B3" s="85">
        <v>0</v>
      </c>
    </row>
    <row r="4" spans="1:2" ht="15">
      <c r="A4" s="124" t="s">
        <v>214</v>
      </c>
      <c r="B4" s="85">
        <v>0</v>
      </c>
    </row>
    <row r="5" spans="1:2" ht="15">
      <c r="A5" s="124" t="s">
        <v>212</v>
      </c>
      <c r="B5" s="85">
        <v>0</v>
      </c>
    </row>
    <row r="6" spans="1:2" ht="15">
      <c r="A6" s="124" t="s">
        <v>213</v>
      </c>
      <c r="B6"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510</v>
      </c>
      <c r="B25" t="s">
        <v>509</v>
      </c>
    </row>
    <row r="26" spans="1:2" ht="15">
      <c r="A26" s="136">
        <v>43660.552303240744</v>
      </c>
      <c r="B26" s="3">
        <v>1</v>
      </c>
    </row>
    <row r="27" spans="1:2" ht="15">
      <c r="A27" s="136">
        <v>43661.77798611111</v>
      </c>
      <c r="B27" s="3">
        <v>1</v>
      </c>
    </row>
    <row r="28" spans="1:2" ht="15">
      <c r="A28" s="136">
        <v>43665.91997685185</v>
      </c>
      <c r="B28" s="3">
        <v>1</v>
      </c>
    </row>
    <row r="29" spans="1:2" ht="15">
      <c r="A29" s="136">
        <v>43671.53145833333</v>
      </c>
      <c r="B29" s="3">
        <v>1</v>
      </c>
    </row>
    <row r="30" spans="1:2" ht="15">
      <c r="A30" s="136">
        <v>43677.97934027778</v>
      </c>
      <c r="B30" s="3">
        <v>1</v>
      </c>
    </row>
    <row r="31" spans="1:2" ht="15">
      <c r="A31" s="136">
        <v>43685.814351851855</v>
      </c>
      <c r="B31" s="3">
        <v>1</v>
      </c>
    </row>
    <row r="32" spans="1:2" ht="15">
      <c r="A32" s="136" t="s">
        <v>511</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258</v>
      </c>
      <c r="AE2" s="13" t="s">
        <v>259</v>
      </c>
      <c r="AF2" s="13" t="s">
        <v>260</v>
      </c>
      <c r="AG2" s="13" t="s">
        <v>261</v>
      </c>
      <c r="AH2" s="13" t="s">
        <v>262</v>
      </c>
      <c r="AI2" s="13" t="s">
        <v>263</v>
      </c>
      <c r="AJ2" s="13" t="s">
        <v>264</v>
      </c>
      <c r="AK2" s="13" t="s">
        <v>265</v>
      </c>
      <c r="AL2" s="13" t="s">
        <v>266</v>
      </c>
      <c r="AM2" s="13" t="s">
        <v>267</v>
      </c>
      <c r="AN2" s="13" t="s">
        <v>268</v>
      </c>
      <c r="AO2" s="13" t="s">
        <v>269</v>
      </c>
      <c r="AP2" s="13" t="s">
        <v>270</v>
      </c>
      <c r="AQ2" s="13" t="s">
        <v>271</v>
      </c>
      <c r="AR2" s="13" t="s">
        <v>272</v>
      </c>
      <c r="AS2" s="13" t="s">
        <v>192</v>
      </c>
      <c r="AT2" s="13" t="s">
        <v>273</v>
      </c>
      <c r="AU2" s="13" t="s">
        <v>274</v>
      </c>
      <c r="AV2" s="13" t="s">
        <v>275</v>
      </c>
      <c r="AW2" s="13" t="s">
        <v>276</v>
      </c>
      <c r="AX2" s="13" t="s">
        <v>277</v>
      </c>
      <c r="AY2" s="13" t="s">
        <v>278</v>
      </c>
      <c r="AZ2" s="13" t="s">
        <v>355</v>
      </c>
      <c r="BA2" s="127" t="s">
        <v>434</v>
      </c>
      <c r="BB2" s="127" t="s">
        <v>436</v>
      </c>
      <c r="BC2" s="127" t="s">
        <v>437</v>
      </c>
      <c r="BD2" s="127" t="s">
        <v>438</v>
      </c>
      <c r="BE2" s="127" t="s">
        <v>440</v>
      </c>
      <c r="BF2" s="127" t="s">
        <v>441</v>
      </c>
      <c r="BG2" s="127" t="s">
        <v>442</v>
      </c>
      <c r="BH2" s="127" t="s">
        <v>447</v>
      </c>
      <c r="BI2" s="127" t="s">
        <v>449</v>
      </c>
      <c r="BJ2" s="127" t="s">
        <v>454</v>
      </c>
      <c r="BK2" s="127" t="s">
        <v>477</v>
      </c>
      <c r="BL2" s="127" t="s">
        <v>478</v>
      </c>
      <c r="BM2" s="127" t="s">
        <v>479</v>
      </c>
      <c r="BN2" s="127" t="s">
        <v>480</v>
      </c>
      <c r="BO2" s="127" t="s">
        <v>481</v>
      </c>
      <c r="BP2" s="127" t="s">
        <v>482</v>
      </c>
      <c r="BQ2" s="127" t="s">
        <v>483</v>
      </c>
      <c r="BR2" s="127" t="s">
        <v>484</v>
      </c>
      <c r="BS2" s="127" t="s">
        <v>486</v>
      </c>
      <c r="BT2" s="3"/>
      <c r="BU2" s="3"/>
    </row>
    <row r="3" spans="1:73" ht="15" customHeight="1">
      <c r="A3" s="50" t="s">
        <v>212</v>
      </c>
      <c r="B3" s="53"/>
      <c r="C3" s="53" t="s">
        <v>64</v>
      </c>
      <c r="D3" s="54">
        <v>308.7683615819209</v>
      </c>
      <c r="E3" s="55"/>
      <c r="F3" s="112" t="s">
        <v>236</v>
      </c>
      <c r="G3" s="53"/>
      <c r="H3" s="57" t="s">
        <v>212</v>
      </c>
      <c r="I3" s="56"/>
      <c r="J3" s="56"/>
      <c r="K3" s="114" t="s">
        <v>307</v>
      </c>
      <c r="L3" s="59">
        <v>1</v>
      </c>
      <c r="M3" s="60">
        <v>1616.147705078125</v>
      </c>
      <c r="N3" s="60">
        <v>2676.202880859375</v>
      </c>
      <c r="O3" s="58"/>
      <c r="P3" s="61"/>
      <c r="Q3" s="61"/>
      <c r="R3" s="51"/>
      <c r="S3" s="51">
        <v>1</v>
      </c>
      <c r="T3" s="51">
        <v>1</v>
      </c>
      <c r="U3" s="52">
        <v>0</v>
      </c>
      <c r="V3" s="52">
        <v>0</v>
      </c>
      <c r="W3" s="52">
        <v>0.2</v>
      </c>
      <c r="X3" s="52">
        <v>0.999895</v>
      </c>
      <c r="Y3" s="52">
        <v>0</v>
      </c>
      <c r="Z3" s="52" t="s">
        <v>358</v>
      </c>
      <c r="AA3" s="62">
        <v>3</v>
      </c>
      <c r="AB3" s="62"/>
      <c r="AC3" s="63"/>
      <c r="AD3" s="85" t="s">
        <v>279</v>
      </c>
      <c r="AE3" s="85">
        <v>568</v>
      </c>
      <c r="AF3" s="85">
        <v>75</v>
      </c>
      <c r="AG3" s="85">
        <v>167</v>
      </c>
      <c r="AH3" s="85">
        <v>160</v>
      </c>
      <c r="AI3" s="85"/>
      <c r="AJ3" s="85"/>
      <c r="AK3" s="85"/>
      <c r="AL3" s="85"/>
      <c r="AM3" s="85"/>
      <c r="AN3" s="87">
        <v>43517.611493055556</v>
      </c>
      <c r="AO3" s="85"/>
      <c r="AP3" s="85" t="b">
        <v>1</v>
      </c>
      <c r="AQ3" s="85" t="b">
        <v>0</v>
      </c>
      <c r="AR3" s="85" t="b">
        <v>0</v>
      </c>
      <c r="AS3" s="85"/>
      <c r="AT3" s="85">
        <v>0</v>
      </c>
      <c r="AU3" s="85"/>
      <c r="AV3" s="85" t="b">
        <v>0</v>
      </c>
      <c r="AW3" s="85" t="s">
        <v>301</v>
      </c>
      <c r="AX3" s="89" t="s">
        <v>302</v>
      </c>
      <c r="AY3" s="85" t="s">
        <v>66</v>
      </c>
      <c r="AZ3" s="85" t="str">
        <f>REPLACE(INDEX(GroupVertices[Group],MATCH(Vertices[[#This Row],[Vertex]],GroupVertices[Vertex],0)),1,1,"")</f>
        <v>1</v>
      </c>
      <c r="BA3" s="51" t="s">
        <v>223</v>
      </c>
      <c r="BB3" s="51" t="s">
        <v>223</v>
      </c>
      <c r="BC3" s="51" t="s">
        <v>228</v>
      </c>
      <c r="BD3" s="51" t="s">
        <v>228</v>
      </c>
      <c r="BE3" s="51"/>
      <c r="BF3" s="51"/>
      <c r="BG3" s="128" t="s">
        <v>443</v>
      </c>
      <c r="BH3" s="128" t="s">
        <v>443</v>
      </c>
      <c r="BI3" s="128" t="s">
        <v>450</v>
      </c>
      <c r="BJ3" s="128" t="s">
        <v>450</v>
      </c>
      <c r="BK3" s="128">
        <v>0</v>
      </c>
      <c r="BL3" s="131">
        <v>0</v>
      </c>
      <c r="BM3" s="128">
        <v>0</v>
      </c>
      <c r="BN3" s="131">
        <v>0</v>
      </c>
      <c r="BO3" s="128">
        <v>0</v>
      </c>
      <c r="BP3" s="131">
        <v>0</v>
      </c>
      <c r="BQ3" s="128">
        <v>11</v>
      </c>
      <c r="BR3" s="131">
        <v>100</v>
      </c>
      <c r="BS3" s="128">
        <v>11</v>
      </c>
      <c r="BT3" s="3"/>
      <c r="BU3" s="3"/>
    </row>
    <row r="4" spans="1:76" ht="15">
      <c r="A4" s="14" t="s">
        <v>213</v>
      </c>
      <c r="B4" s="15"/>
      <c r="C4" s="15" t="s">
        <v>64</v>
      </c>
      <c r="D4" s="93">
        <v>162</v>
      </c>
      <c r="E4" s="81"/>
      <c r="F4" s="112" t="s">
        <v>237</v>
      </c>
      <c r="G4" s="15"/>
      <c r="H4" s="16" t="s">
        <v>213</v>
      </c>
      <c r="I4" s="66"/>
      <c r="J4" s="66"/>
      <c r="K4" s="114" t="s">
        <v>308</v>
      </c>
      <c r="L4" s="94">
        <v>1</v>
      </c>
      <c r="M4" s="95">
        <v>4458.61865234375</v>
      </c>
      <c r="N4" s="95">
        <v>7322.796875</v>
      </c>
      <c r="O4" s="77"/>
      <c r="P4" s="96"/>
      <c r="Q4" s="96"/>
      <c r="R4" s="97"/>
      <c r="S4" s="51">
        <v>1</v>
      </c>
      <c r="T4" s="51">
        <v>1</v>
      </c>
      <c r="U4" s="52">
        <v>0</v>
      </c>
      <c r="V4" s="52">
        <v>0</v>
      </c>
      <c r="W4" s="52">
        <v>0.2</v>
      </c>
      <c r="X4" s="52">
        <v>0.999895</v>
      </c>
      <c r="Y4" s="52">
        <v>0</v>
      </c>
      <c r="Z4" s="52" t="s">
        <v>358</v>
      </c>
      <c r="AA4" s="82">
        <v>4</v>
      </c>
      <c r="AB4" s="82"/>
      <c r="AC4" s="98"/>
      <c r="AD4" s="85" t="s">
        <v>280</v>
      </c>
      <c r="AE4" s="85">
        <v>8</v>
      </c>
      <c r="AF4" s="85">
        <v>13</v>
      </c>
      <c r="AG4" s="85">
        <v>2908</v>
      </c>
      <c r="AH4" s="85">
        <v>0</v>
      </c>
      <c r="AI4" s="85"/>
      <c r="AJ4" s="85" t="s">
        <v>284</v>
      </c>
      <c r="AK4" s="85" t="s">
        <v>288</v>
      </c>
      <c r="AL4" s="89" t="s">
        <v>291</v>
      </c>
      <c r="AM4" s="85"/>
      <c r="AN4" s="87">
        <v>42833.42996527778</v>
      </c>
      <c r="AO4" s="89" t="s">
        <v>294</v>
      </c>
      <c r="AP4" s="85" t="b">
        <v>1</v>
      </c>
      <c r="AQ4" s="85" t="b">
        <v>0</v>
      </c>
      <c r="AR4" s="85" t="b">
        <v>0</v>
      </c>
      <c r="AS4" s="85"/>
      <c r="AT4" s="85">
        <v>0</v>
      </c>
      <c r="AU4" s="85"/>
      <c r="AV4" s="85" t="b">
        <v>0</v>
      </c>
      <c r="AW4" s="85" t="s">
        <v>301</v>
      </c>
      <c r="AX4" s="89" t="s">
        <v>303</v>
      </c>
      <c r="AY4" s="85" t="s">
        <v>66</v>
      </c>
      <c r="AZ4" s="85" t="str">
        <f>REPLACE(INDEX(GroupVertices[Group],MATCH(Vertices[[#This Row],[Vertex]],GroupVertices[Vertex],0)),1,1,"")</f>
        <v>1</v>
      </c>
      <c r="BA4" s="51" t="s">
        <v>224</v>
      </c>
      <c r="BB4" s="51" t="s">
        <v>224</v>
      </c>
      <c r="BC4" s="51" t="s">
        <v>372</v>
      </c>
      <c r="BD4" s="51" t="s">
        <v>372</v>
      </c>
      <c r="BE4" s="51" t="s">
        <v>233</v>
      </c>
      <c r="BF4" s="51" t="s">
        <v>233</v>
      </c>
      <c r="BG4" s="128" t="s">
        <v>444</v>
      </c>
      <c r="BH4" s="128" t="s">
        <v>444</v>
      </c>
      <c r="BI4" s="128" t="s">
        <v>451</v>
      </c>
      <c r="BJ4" s="128" t="s">
        <v>451</v>
      </c>
      <c r="BK4" s="128">
        <v>0</v>
      </c>
      <c r="BL4" s="131">
        <v>0</v>
      </c>
      <c r="BM4" s="128">
        <v>0</v>
      </c>
      <c r="BN4" s="131">
        <v>0</v>
      </c>
      <c r="BO4" s="128">
        <v>0</v>
      </c>
      <c r="BP4" s="131">
        <v>0</v>
      </c>
      <c r="BQ4" s="128">
        <v>22</v>
      </c>
      <c r="BR4" s="131">
        <v>100</v>
      </c>
      <c r="BS4" s="128">
        <v>22</v>
      </c>
      <c r="BT4" s="2"/>
      <c r="BU4" s="3"/>
      <c r="BV4" s="3"/>
      <c r="BW4" s="3"/>
      <c r="BX4" s="3"/>
    </row>
    <row r="5" spans="1:76" ht="15">
      <c r="A5" s="14" t="s">
        <v>214</v>
      </c>
      <c r="B5" s="15"/>
      <c r="C5" s="15" t="s">
        <v>64</v>
      </c>
      <c r="D5" s="93">
        <v>1000</v>
      </c>
      <c r="E5" s="81"/>
      <c r="F5" s="112" t="s">
        <v>299</v>
      </c>
      <c r="G5" s="15"/>
      <c r="H5" s="16" t="s">
        <v>214</v>
      </c>
      <c r="I5" s="66"/>
      <c r="J5" s="66"/>
      <c r="K5" s="114" t="s">
        <v>309</v>
      </c>
      <c r="L5" s="94">
        <v>1</v>
      </c>
      <c r="M5" s="95">
        <v>7939.4267578125</v>
      </c>
      <c r="N5" s="95">
        <v>2676.202880859375</v>
      </c>
      <c r="O5" s="77"/>
      <c r="P5" s="96"/>
      <c r="Q5" s="96"/>
      <c r="R5" s="97"/>
      <c r="S5" s="51">
        <v>0</v>
      </c>
      <c r="T5" s="51">
        <v>1</v>
      </c>
      <c r="U5" s="52">
        <v>0</v>
      </c>
      <c r="V5" s="52">
        <v>1</v>
      </c>
      <c r="W5" s="52">
        <v>0.2</v>
      </c>
      <c r="X5" s="52">
        <v>0.999895</v>
      </c>
      <c r="Y5" s="52">
        <v>0</v>
      </c>
      <c r="Z5" s="52">
        <v>0</v>
      </c>
      <c r="AA5" s="82">
        <v>5</v>
      </c>
      <c r="AB5" s="82"/>
      <c r="AC5" s="98"/>
      <c r="AD5" s="85" t="s">
        <v>281</v>
      </c>
      <c r="AE5" s="85">
        <v>829</v>
      </c>
      <c r="AF5" s="85">
        <v>367</v>
      </c>
      <c r="AG5" s="85">
        <v>457</v>
      </c>
      <c r="AH5" s="85">
        <v>5</v>
      </c>
      <c r="AI5" s="85"/>
      <c r="AJ5" s="85" t="s">
        <v>285</v>
      </c>
      <c r="AK5" s="85" t="s">
        <v>289</v>
      </c>
      <c r="AL5" s="89" t="s">
        <v>292</v>
      </c>
      <c r="AM5" s="85"/>
      <c r="AN5" s="87">
        <v>40224.70142361111</v>
      </c>
      <c r="AO5" s="89" t="s">
        <v>295</v>
      </c>
      <c r="AP5" s="85" t="b">
        <v>1</v>
      </c>
      <c r="AQ5" s="85" t="b">
        <v>0</v>
      </c>
      <c r="AR5" s="85" t="b">
        <v>1</v>
      </c>
      <c r="AS5" s="85"/>
      <c r="AT5" s="85">
        <v>12</v>
      </c>
      <c r="AU5" s="89" t="s">
        <v>297</v>
      </c>
      <c r="AV5" s="85" t="b">
        <v>0</v>
      </c>
      <c r="AW5" s="85" t="s">
        <v>301</v>
      </c>
      <c r="AX5" s="89" t="s">
        <v>304</v>
      </c>
      <c r="AY5" s="85" t="s">
        <v>66</v>
      </c>
      <c r="AZ5" s="85" t="str">
        <f>REPLACE(INDEX(GroupVertices[Group],MATCH(Vertices[[#This Row],[Vertex]],GroupVertices[Vertex],0)),1,1,"")</f>
        <v>2</v>
      </c>
      <c r="BA5" s="51" t="s">
        <v>225</v>
      </c>
      <c r="BB5" s="51" t="s">
        <v>225</v>
      </c>
      <c r="BC5" s="51" t="s">
        <v>230</v>
      </c>
      <c r="BD5" s="51" t="s">
        <v>230</v>
      </c>
      <c r="BE5" s="51" t="s">
        <v>234</v>
      </c>
      <c r="BF5" s="51" t="s">
        <v>234</v>
      </c>
      <c r="BG5" s="128" t="s">
        <v>445</v>
      </c>
      <c r="BH5" s="128" t="s">
        <v>445</v>
      </c>
      <c r="BI5" s="128" t="s">
        <v>452</v>
      </c>
      <c r="BJ5" s="128" t="s">
        <v>452</v>
      </c>
      <c r="BK5" s="128">
        <v>0</v>
      </c>
      <c r="BL5" s="131">
        <v>0</v>
      </c>
      <c r="BM5" s="128">
        <v>0</v>
      </c>
      <c r="BN5" s="131">
        <v>0</v>
      </c>
      <c r="BO5" s="128">
        <v>0</v>
      </c>
      <c r="BP5" s="131">
        <v>0</v>
      </c>
      <c r="BQ5" s="128">
        <v>13</v>
      </c>
      <c r="BR5" s="131">
        <v>100</v>
      </c>
      <c r="BS5" s="128">
        <v>13</v>
      </c>
      <c r="BT5" s="2"/>
      <c r="BU5" s="3"/>
      <c r="BV5" s="3"/>
      <c r="BW5" s="3"/>
      <c r="BX5" s="3"/>
    </row>
    <row r="6" spans="1:76" ht="15">
      <c r="A6" s="14" t="s">
        <v>216</v>
      </c>
      <c r="B6" s="15"/>
      <c r="C6" s="15" t="s">
        <v>64</v>
      </c>
      <c r="D6" s="93">
        <v>1000</v>
      </c>
      <c r="E6" s="81"/>
      <c r="F6" s="112" t="s">
        <v>300</v>
      </c>
      <c r="G6" s="15"/>
      <c r="H6" s="16" t="s">
        <v>216</v>
      </c>
      <c r="I6" s="66"/>
      <c r="J6" s="66"/>
      <c r="K6" s="114" t="s">
        <v>310</v>
      </c>
      <c r="L6" s="94">
        <v>1</v>
      </c>
      <c r="M6" s="95">
        <v>7939.4267578125</v>
      </c>
      <c r="N6" s="95">
        <v>7322.796875</v>
      </c>
      <c r="O6" s="77"/>
      <c r="P6" s="96"/>
      <c r="Q6" s="96"/>
      <c r="R6" s="97"/>
      <c r="S6" s="51">
        <v>1</v>
      </c>
      <c r="T6" s="51">
        <v>0</v>
      </c>
      <c r="U6" s="52">
        <v>0</v>
      </c>
      <c r="V6" s="52">
        <v>1</v>
      </c>
      <c r="W6" s="52">
        <v>0.2</v>
      </c>
      <c r="X6" s="52">
        <v>0.999895</v>
      </c>
      <c r="Y6" s="52">
        <v>0</v>
      </c>
      <c r="Z6" s="52">
        <v>0</v>
      </c>
      <c r="AA6" s="82">
        <v>6</v>
      </c>
      <c r="AB6" s="82"/>
      <c r="AC6" s="98"/>
      <c r="AD6" s="85" t="s">
        <v>282</v>
      </c>
      <c r="AE6" s="85">
        <v>2027</v>
      </c>
      <c r="AF6" s="85">
        <v>3601</v>
      </c>
      <c r="AG6" s="85">
        <v>5661</v>
      </c>
      <c r="AH6" s="85">
        <v>488</v>
      </c>
      <c r="AI6" s="85"/>
      <c r="AJ6" s="85" t="s">
        <v>286</v>
      </c>
      <c r="AK6" s="85" t="s">
        <v>290</v>
      </c>
      <c r="AL6" s="89" t="s">
        <v>293</v>
      </c>
      <c r="AM6" s="85"/>
      <c r="AN6" s="87">
        <v>39763.901967592596</v>
      </c>
      <c r="AO6" s="89" t="s">
        <v>296</v>
      </c>
      <c r="AP6" s="85" t="b">
        <v>0</v>
      </c>
      <c r="AQ6" s="85" t="b">
        <v>0</v>
      </c>
      <c r="AR6" s="85" t="b">
        <v>1</v>
      </c>
      <c r="AS6" s="85"/>
      <c r="AT6" s="85">
        <v>197</v>
      </c>
      <c r="AU6" s="89" t="s">
        <v>298</v>
      </c>
      <c r="AV6" s="85" t="b">
        <v>0</v>
      </c>
      <c r="AW6" s="85" t="s">
        <v>301</v>
      </c>
      <c r="AX6" s="89" t="s">
        <v>305</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99" t="s">
        <v>215</v>
      </c>
      <c r="B7" s="100"/>
      <c r="C7" s="100" t="s">
        <v>64</v>
      </c>
      <c r="D7" s="101">
        <v>670.954802259887</v>
      </c>
      <c r="E7" s="102"/>
      <c r="F7" s="113" t="s">
        <v>238</v>
      </c>
      <c r="G7" s="100"/>
      <c r="H7" s="103" t="s">
        <v>215</v>
      </c>
      <c r="I7" s="104"/>
      <c r="J7" s="104"/>
      <c r="K7" s="115" t="s">
        <v>311</v>
      </c>
      <c r="L7" s="105">
        <v>1</v>
      </c>
      <c r="M7" s="106">
        <v>1616.147705078125</v>
      </c>
      <c r="N7" s="106">
        <v>7322.796875</v>
      </c>
      <c r="O7" s="107"/>
      <c r="P7" s="108"/>
      <c r="Q7" s="108"/>
      <c r="R7" s="109"/>
      <c r="S7" s="51">
        <v>1</v>
      </c>
      <c r="T7" s="51">
        <v>1</v>
      </c>
      <c r="U7" s="52">
        <v>0</v>
      </c>
      <c r="V7" s="52">
        <v>0</v>
      </c>
      <c r="W7" s="52">
        <v>0.2</v>
      </c>
      <c r="X7" s="52">
        <v>0.999895</v>
      </c>
      <c r="Y7" s="52">
        <v>0</v>
      </c>
      <c r="Z7" s="52" t="s">
        <v>358</v>
      </c>
      <c r="AA7" s="110">
        <v>7</v>
      </c>
      <c r="AB7" s="110"/>
      <c r="AC7" s="111"/>
      <c r="AD7" s="85" t="s">
        <v>283</v>
      </c>
      <c r="AE7" s="85">
        <v>1</v>
      </c>
      <c r="AF7" s="85">
        <v>228</v>
      </c>
      <c r="AG7" s="85">
        <v>78778</v>
      </c>
      <c r="AH7" s="85">
        <v>0</v>
      </c>
      <c r="AI7" s="85"/>
      <c r="AJ7" s="85" t="s">
        <v>287</v>
      </c>
      <c r="AK7" s="85"/>
      <c r="AL7" s="85"/>
      <c r="AM7" s="85"/>
      <c r="AN7" s="87">
        <v>39567.96388888889</v>
      </c>
      <c r="AO7" s="85"/>
      <c r="AP7" s="85" t="b">
        <v>0</v>
      </c>
      <c r="AQ7" s="85" t="b">
        <v>0</v>
      </c>
      <c r="AR7" s="85" t="b">
        <v>0</v>
      </c>
      <c r="AS7" s="85"/>
      <c r="AT7" s="85">
        <v>65</v>
      </c>
      <c r="AU7" s="89" t="s">
        <v>297</v>
      </c>
      <c r="AV7" s="85" t="b">
        <v>0</v>
      </c>
      <c r="AW7" s="85" t="s">
        <v>301</v>
      </c>
      <c r="AX7" s="89" t="s">
        <v>306</v>
      </c>
      <c r="AY7" s="85" t="s">
        <v>66</v>
      </c>
      <c r="AZ7" s="85" t="str">
        <f>REPLACE(INDEX(GroupVertices[Group],MATCH(Vertices[[#This Row],[Vertex]],GroupVertices[Vertex],0)),1,1,"")</f>
        <v>1</v>
      </c>
      <c r="BA7" s="51" t="s">
        <v>435</v>
      </c>
      <c r="BB7" s="51" t="s">
        <v>435</v>
      </c>
      <c r="BC7" s="51" t="s">
        <v>231</v>
      </c>
      <c r="BD7" s="51" t="s">
        <v>439</v>
      </c>
      <c r="BE7" s="51"/>
      <c r="BF7" s="51"/>
      <c r="BG7" s="128" t="s">
        <v>446</v>
      </c>
      <c r="BH7" s="128" t="s">
        <v>448</v>
      </c>
      <c r="BI7" s="128" t="s">
        <v>453</v>
      </c>
      <c r="BJ7" s="128" t="s">
        <v>455</v>
      </c>
      <c r="BK7" s="128">
        <v>2</v>
      </c>
      <c r="BL7" s="131">
        <v>3.1746031746031744</v>
      </c>
      <c r="BM7" s="128">
        <v>1</v>
      </c>
      <c r="BN7" s="131">
        <v>1.5873015873015872</v>
      </c>
      <c r="BO7" s="128">
        <v>0</v>
      </c>
      <c r="BP7" s="131">
        <v>0</v>
      </c>
      <c r="BQ7" s="128">
        <v>60</v>
      </c>
      <c r="BR7" s="131">
        <v>95.23809523809524</v>
      </c>
      <c r="BS7" s="128">
        <v>63</v>
      </c>
      <c r="BT7" s="2"/>
      <c r="BU7" s="3"/>
      <c r="BV7" s="3"/>
      <c r="BW7" s="3"/>
      <c r="BX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hyperlinks>
    <hyperlink ref="AL4" r:id="rId1" display="http://www.pyvnts.com/"/>
    <hyperlink ref="AL5" r:id="rId2" display="https://t.co/cwcl30d3Rd"/>
    <hyperlink ref="AL6" r:id="rId3" display="https://t.co/LY4oUmCPty"/>
    <hyperlink ref="AO4" r:id="rId4" display="https://pbs.twimg.com/profile_banners/850654238594215936/1497176023"/>
    <hyperlink ref="AO5" r:id="rId5" display="https://pbs.twimg.com/profile_banners/114503243/1469468224"/>
    <hyperlink ref="AO6" r:id="rId6" display="https://pbs.twimg.com/profile_banners/17322976/1554667056"/>
    <hyperlink ref="AU5" r:id="rId7" display="http://abs.twimg.com/images/themes/theme1/bg.png"/>
    <hyperlink ref="AU6" r:id="rId8" display="http://abs.twimg.com/images/themes/theme4/bg.gif"/>
    <hyperlink ref="AU7" r:id="rId9" display="http://abs.twimg.com/images/themes/theme1/bg.png"/>
    <hyperlink ref="F3" r:id="rId10" display="http://pbs.twimg.com/profile_images/1098593603604176896/MdlK2Dxm_normal.jpg"/>
    <hyperlink ref="F4" r:id="rId11" display="http://pbs.twimg.com/profile_images/873636826891694080/h7j4lC5K_normal.jpg"/>
    <hyperlink ref="F5" r:id="rId12" display="http://pbs.twimg.com/profile_images/757628037596717056/iWECihKX_normal.jpg"/>
    <hyperlink ref="F6" r:id="rId13" display="http://pbs.twimg.com/profile_images/1114980498571325440/P5oHo7-0_normal.png"/>
    <hyperlink ref="F7" r:id="rId14" display="http://pbs.twimg.com/profile_images/3384826748/794c98b6b045fca3693aa02a03bcaa5e_normal.jpeg"/>
    <hyperlink ref="AX3" r:id="rId15" display="https://twitter.com/shaaliliton1"/>
    <hyperlink ref="AX4" r:id="rId16" display="https://twitter.com/pyvnts"/>
    <hyperlink ref="AX5" r:id="rId17" display="https://twitter.com/mattthueson"/>
    <hyperlink ref="AX6" r:id="rId18" display="https://twitter.com/cradlepoint"/>
    <hyperlink ref="AX7" r:id="rId19" display="https://twitter.com/rss_feed_reader"/>
  </hyperlinks>
  <printOptions/>
  <pageMargins left="0.7" right="0.7" top="0.75" bottom="0.75" header="0.3" footer="0.3"/>
  <pageSetup horizontalDpi="600" verticalDpi="600" orientation="portrait" r:id="rId23"/>
  <legacyDrawing r:id="rId21"/>
  <tableParts>
    <tablePart r:id="rId2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369</v>
      </c>
      <c r="Z2" s="13" t="s">
        <v>376</v>
      </c>
      <c r="AA2" s="13" t="s">
        <v>383</v>
      </c>
      <c r="AB2" s="13" t="s">
        <v>401</v>
      </c>
      <c r="AC2" s="13" t="s">
        <v>418</v>
      </c>
      <c r="AD2" s="13" t="s">
        <v>426</v>
      </c>
      <c r="AE2" s="13" t="s">
        <v>427</v>
      </c>
      <c r="AF2" s="13" t="s">
        <v>431</v>
      </c>
      <c r="AG2" s="67" t="s">
        <v>477</v>
      </c>
      <c r="AH2" s="67" t="s">
        <v>478</v>
      </c>
      <c r="AI2" s="67" t="s">
        <v>479</v>
      </c>
      <c r="AJ2" s="67" t="s">
        <v>480</v>
      </c>
      <c r="AK2" s="67" t="s">
        <v>481</v>
      </c>
      <c r="AL2" s="67" t="s">
        <v>482</v>
      </c>
      <c r="AM2" s="67" t="s">
        <v>483</v>
      </c>
      <c r="AN2" s="67" t="s">
        <v>484</v>
      </c>
      <c r="AO2" s="67" t="s">
        <v>487</v>
      </c>
    </row>
    <row r="3" spans="1:41" ht="15">
      <c r="A3" s="125" t="s">
        <v>351</v>
      </c>
      <c r="B3" s="126" t="s">
        <v>353</v>
      </c>
      <c r="C3" s="126" t="s">
        <v>56</v>
      </c>
      <c r="D3" s="117"/>
      <c r="E3" s="116"/>
      <c r="F3" s="118" t="s">
        <v>513</v>
      </c>
      <c r="G3" s="119"/>
      <c r="H3" s="119"/>
      <c r="I3" s="120">
        <v>3</v>
      </c>
      <c r="J3" s="121"/>
      <c r="K3" s="51">
        <v>3</v>
      </c>
      <c r="L3" s="51">
        <v>1</v>
      </c>
      <c r="M3" s="51">
        <v>4</v>
      </c>
      <c r="N3" s="51">
        <v>5</v>
      </c>
      <c r="O3" s="51">
        <v>5</v>
      </c>
      <c r="P3" s="52" t="s">
        <v>358</v>
      </c>
      <c r="Q3" s="52" t="s">
        <v>358</v>
      </c>
      <c r="R3" s="51">
        <v>3</v>
      </c>
      <c r="S3" s="51">
        <v>3</v>
      </c>
      <c r="T3" s="51">
        <v>1</v>
      </c>
      <c r="U3" s="51">
        <v>2</v>
      </c>
      <c r="V3" s="51">
        <v>0</v>
      </c>
      <c r="W3" s="52">
        <v>0</v>
      </c>
      <c r="X3" s="52">
        <v>0</v>
      </c>
      <c r="Y3" s="85" t="s">
        <v>370</v>
      </c>
      <c r="Z3" s="85" t="s">
        <v>377</v>
      </c>
      <c r="AA3" s="85" t="s">
        <v>233</v>
      </c>
      <c r="AB3" s="91" t="s">
        <v>402</v>
      </c>
      <c r="AC3" s="91" t="s">
        <v>419</v>
      </c>
      <c r="AD3" s="91"/>
      <c r="AE3" s="91"/>
      <c r="AF3" s="91" t="s">
        <v>432</v>
      </c>
      <c r="AG3" s="128">
        <v>2</v>
      </c>
      <c r="AH3" s="131">
        <v>2.0833333333333335</v>
      </c>
      <c r="AI3" s="128">
        <v>1</v>
      </c>
      <c r="AJ3" s="131">
        <v>1.0416666666666667</v>
      </c>
      <c r="AK3" s="128">
        <v>0</v>
      </c>
      <c r="AL3" s="131">
        <v>0</v>
      </c>
      <c r="AM3" s="128">
        <v>93</v>
      </c>
      <c r="AN3" s="131">
        <v>96.875</v>
      </c>
      <c r="AO3" s="128">
        <v>96</v>
      </c>
    </row>
    <row r="4" spans="1:41" ht="15">
      <c r="A4" s="125" t="s">
        <v>352</v>
      </c>
      <c r="B4" s="126" t="s">
        <v>354</v>
      </c>
      <c r="C4" s="126" t="s">
        <v>56</v>
      </c>
      <c r="D4" s="122"/>
      <c r="E4" s="100"/>
      <c r="F4" s="103" t="s">
        <v>352</v>
      </c>
      <c r="G4" s="107"/>
      <c r="H4" s="107"/>
      <c r="I4" s="123">
        <v>4</v>
      </c>
      <c r="J4" s="110"/>
      <c r="K4" s="51">
        <v>2</v>
      </c>
      <c r="L4" s="51">
        <v>1</v>
      </c>
      <c r="M4" s="51">
        <v>0</v>
      </c>
      <c r="N4" s="51">
        <v>1</v>
      </c>
      <c r="O4" s="51">
        <v>0</v>
      </c>
      <c r="P4" s="52">
        <v>0</v>
      </c>
      <c r="Q4" s="52">
        <v>0</v>
      </c>
      <c r="R4" s="51">
        <v>1</v>
      </c>
      <c r="S4" s="51">
        <v>0</v>
      </c>
      <c r="T4" s="51">
        <v>2</v>
      </c>
      <c r="U4" s="51">
        <v>1</v>
      </c>
      <c r="V4" s="51">
        <v>1</v>
      </c>
      <c r="W4" s="52">
        <v>0.5</v>
      </c>
      <c r="X4" s="52">
        <v>0.5</v>
      </c>
      <c r="Y4" s="85" t="s">
        <v>225</v>
      </c>
      <c r="Z4" s="85" t="s">
        <v>230</v>
      </c>
      <c r="AA4" s="85" t="s">
        <v>234</v>
      </c>
      <c r="AB4" s="91" t="s">
        <v>251</v>
      </c>
      <c r="AC4" s="91" t="s">
        <v>251</v>
      </c>
      <c r="AD4" s="91" t="s">
        <v>216</v>
      </c>
      <c r="AE4" s="91"/>
      <c r="AF4" s="91" t="s">
        <v>433</v>
      </c>
      <c r="AG4" s="128">
        <v>0</v>
      </c>
      <c r="AH4" s="131">
        <v>0</v>
      </c>
      <c r="AI4" s="128">
        <v>0</v>
      </c>
      <c r="AJ4" s="131">
        <v>0</v>
      </c>
      <c r="AK4" s="128">
        <v>0</v>
      </c>
      <c r="AL4" s="131">
        <v>0</v>
      </c>
      <c r="AM4" s="128">
        <v>13</v>
      </c>
      <c r="AN4" s="131">
        <v>100</v>
      </c>
      <c r="AO4" s="128">
        <v>13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351</v>
      </c>
      <c r="B2" s="91" t="s">
        <v>212</v>
      </c>
      <c r="C2" s="85">
        <f>VLOOKUP(GroupVertices[[#This Row],[Vertex]],Vertices[],MATCH("ID",Vertices[[#Headers],[Vertex]:[Vertex Content Word Count]],0),FALSE)</f>
        <v>3</v>
      </c>
    </row>
    <row r="3" spans="1:3" ht="15">
      <c r="A3" s="85" t="s">
        <v>351</v>
      </c>
      <c r="B3" s="91" t="s">
        <v>213</v>
      </c>
      <c r="C3" s="85">
        <f>VLOOKUP(GroupVertices[[#This Row],[Vertex]],Vertices[],MATCH("ID",Vertices[[#Headers],[Vertex]:[Vertex Content Word Count]],0),FALSE)</f>
        <v>4</v>
      </c>
    </row>
    <row r="4" spans="1:3" ht="15">
      <c r="A4" s="85" t="s">
        <v>351</v>
      </c>
      <c r="B4" s="91" t="s">
        <v>215</v>
      </c>
      <c r="C4" s="85">
        <f>VLOOKUP(GroupVertices[[#This Row],[Vertex]],Vertices[],MATCH("ID",Vertices[[#Headers],[Vertex]:[Vertex Content Word Count]],0),FALSE)</f>
        <v>7</v>
      </c>
    </row>
    <row r="5" spans="1:3" ht="15">
      <c r="A5" s="85" t="s">
        <v>352</v>
      </c>
      <c r="B5" s="91" t="s">
        <v>214</v>
      </c>
      <c r="C5" s="85">
        <f>VLOOKUP(GroupVertices[[#This Row],[Vertex]],Vertices[],MATCH("ID",Vertices[[#Headers],[Vertex]:[Vertex Content Word Count]],0),FALSE)</f>
        <v>5</v>
      </c>
    </row>
    <row r="6" spans="1:3" ht="15">
      <c r="A6" s="85" t="s">
        <v>352</v>
      </c>
      <c r="B6" s="91" t="s">
        <v>216</v>
      </c>
      <c r="C6" s="85">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491</v>
      </c>
      <c r="B2" s="36" t="s">
        <v>312</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3</v>
      </c>
      <c r="N2" s="39">
        <f>MIN(Vertices[Eigenvector Centrality])</f>
        <v>0.2</v>
      </c>
      <c r="O2" s="40">
        <f>COUNTIF(Vertices[Eigenvector Centrality],"&gt;= "&amp;N2)-COUNTIF(Vertices[Eigenvector Centrality],"&gt;="&amp;N3)</f>
        <v>0</v>
      </c>
      <c r="P2" s="39">
        <f>MIN(Vertices[PageRank])</f>
        <v>0.999895</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0.2</v>
      </c>
      <c r="O3" s="42">
        <f>COUNTIF(Vertices[Eigenvector Centrality],"&gt;= "&amp;N3)-COUNTIF(Vertices[Eigenvector Centrality],"&gt;="&amp;N4)</f>
        <v>0</v>
      </c>
      <c r="P3" s="41">
        <f aca="true" t="shared" si="7" ref="P3:P26">P2+($P$57-$P$2)/BinDivisor</f>
        <v>0.999895</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0.03636363636363636</v>
      </c>
      <c r="G4" s="40">
        <f>COUNTIF(Vertices[In-Degree],"&gt;= "&amp;F4)-COUNTIF(Vertices[In-Degree],"&gt;="&amp;F5)</f>
        <v>0</v>
      </c>
      <c r="H4" s="39">
        <f t="shared" si="3"/>
        <v>0.03636363636363636</v>
      </c>
      <c r="I4" s="40">
        <f>COUNTIF(Vertices[Out-Degree],"&gt;= "&amp;H4)-COUNTIF(Vertices[Out-Degree],"&gt;="&amp;H5)</f>
        <v>0</v>
      </c>
      <c r="J4" s="39">
        <f t="shared" si="4"/>
        <v>0</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0.2</v>
      </c>
      <c r="O4" s="40">
        <f>COUNTIF(Vertices[Eigenvector Centrality],"&gt;= "&amp;N4)-COUNTIF(Vertices[Eigenvector Centrality],"&gt;="&amp;N5)</f>
        <v>0</v>
      </c>
      <c r="P4" s="39">
        <f t="shared" si="7"/>
        <v>0.999895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0.05454545454545454</v>
      </c>
      <c r="G5" s="42">
        <f>COUNTIF(Vertices[In-Degree],"&gt;= "&amp;F5)-COUNTIF(Vertices[In-Degree],"&gt;="&amp;F6)</f>
        <v>0</v>
      </c>
      <c r="H5" s="41">
        <f t="shared" si="3"/>
        <v>0.05454545454545454</v>
      </c>
      <c r="I5" s="42">
        <f>COUNTIF(Vertices[Out-Degree],"&gt;= "&amp;H5)-COUNTIF(Vertices[Out-Degree],"&gt;="&amp;H6)</f>
        <v>0</v>
      </c>
      <c r="J5" s="41">
        <f t="shared" si="4"/>
        <v>0</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0.2</v>
      </c>
      <c r="O5" s="42">
        <f>COUNTIF(Vertices[Eigenvector Centrality],"&gt;= "&amp;N5)-COUNTIF(Vertices[Eigenvector Centrality],"&gt;="&amp;N6)</f>
        <v>0</v>
      </c>
      <c r="P5" s="41">
        <f t="shared" si="7"/>
        <v>0.999895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0.07272727272727272</v>
      </c>
      <c r="G6" s="40">
        <f>COUNTIF(Vertices[In-Degree],"&gt;= "&amp;F6)-COUNTIF(Vertices[In-Degree],"&gt;="&amp;F7)</f>
        <v>0</v>
      </c>
      <c r="H6" s="39">
        <f t="shared" si="3"/>
        <v>0.07272727272727272</v>
      </c>
      <c r="I6" s="40">
        <f>COUNTIF(Vertices[Out-Degree],"&gt;= "&amp;H6)-COUNTIF(Vertices[Out-Degree],"&gt;="&amp;H7)</f>
        <v>0</v>
      </c>
      <c r="J6" s="39">
        <f t="shared" si="4"/>
        <v>0</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0.2</v>
      </c>
      <c r="O6" s="40">
        <f>COUNTIF(Vertices[Eigenvector Centrality],"&gt;= "&amp;N6)-COUNTIF(Vertices[Eigenvector Centrality],"&gt;="&amp;N7)</f>
        <v>0</v>
      </c>
      <c r="P6" s="39">
        <f t="shared" si="7"/>
        <v>0.999895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0.09090909090909091</v>
      </c>
      <c r="G7" s="42">
        <f>COUNTIF(Vertices[In-Degree],"&gt;= "&amp;F7)-COUNTIF(Vertices[In-Degree],"&gt;="&amp;F8)</f>
        <v>0</v>
      </c>
      <c r="H7" s="41">
        <f t="shared" si="3"/>
        <v>0.09090909090909091</v>
      </c>
      <c r="I7" s="42">
        <f>COUNTIF(Vertices[Out-Degree],"&gt;= "&amp;H7)-COUNTIF(Vertices[Out-Degree],"&gt;="&amp;H8)</f>
        <v>0</v>
      </c>
      <c r="J7" s="41">
        <f t="shared" si="4"/>
        <v>0</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0.2</v>
      </c>
      <c r="O7" s="42">
        <f>COUNTIF(Vertices[Eigenvector Centrality],"&gt;= "&amp;N7)-COUNTIF(Vertices[Eigenvector Centrality],"&gt;="&amp;N8)</f>
        <v>0</v>
      </c>
      <c r="P7" s="41">
        <f t="shared" si="7"/>
        <v>0.999895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0.1090909090909091</v>
      </c>
      <c r="G8" s="40">
        <f>COUNTIF(Vertices[In-Degree],"&gt;= "&amp;F8)-COUNTIF(Vertices[In-Degree],"&gt;="&amp;F9)</f>
        <v>0</v>
      </c>
      <c r="H8" s="39">
        <f t="shared" si="3"/>
        <v>0.1090909090909091</v>
      </c>
      <c r="I8" s="40">
        <f>COUNTIF(Vertices[Out-Degree],"&gt;= "&amp;H8)-COUNTIF(Vertices[Out-Degree],"&gt;="&amp;H9)</f>
        <v>0</v>
      </c>
      <c r="J8" s="39">
        <f t="shared" si="4"/>
        <v>0</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0.2</v>
      </c>
      <c r="O8" s="40">
        <f>COUNTIF(Vertices[Eigenvector Centrality],"&gt;= "&amp;N8)-COUNTIF(Vertices[Eigenvector Centrality],"&gt;="&amp;N9)</f>
        <v>0</v>
      </c>
      <c r="P8" s="39">
        <f t="shared" si="7"/>
        <v>0.999895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0.1272727272727273</v>
      </c>
      <c r="G9" s="42">
        <f>COUNTIF(Vertices[In-Degree],"&gt;= "&amp;F9)-COUNTIF(Vertices[In-Degree],"&gt;="&amp;F10)</f>
        <v>0</v>
      </c>
      <c r="H9" s="41">
        <f t="shared" si="3"/>
        <v>0.1272727272727273</v>
      </c>
      <c r="I9" s="42">
        <f>COUNTIF(Vertices[Out-Degree],"&gt;= "&amp;H9)-COUNTIF(Vertices[Out-Degree],"&gt;="&amp;H10)</f>
        <v>0</v>
      </c>
      <c r="J9" s="41">
        <f t="shared" si="4"/>
        <v>0</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0.2</v>
      </c>
      <c r="O9" s="42">
        <f>COUNTIF(Vertices[Eigenvector Centrality],"&gt;= "&amp;N9)-COUNTIF(Vertices[Eigenvector Centrality],"&gt;="&amp;N10)</f>
        <v>0</v>
      </c>
      <c r="P9" s="41">
        <f t="shared" si="7"/>
        <v>0.999895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492</v>
      </c>
      <c r="B10" s="36">
        <v>2</v>
      </c>
      <c r="D10" s="34">
        <f t="shared" si="1"/>
        <v>0</v>
      </c>
      <c r="E10" s="3">
        <f>COUNTIF(Vertices[Degree],"&gt;= "&amp;D10)-COUNTIF(Vertices[Degree],"&gt;="&amp;D11)</f>
        <v>0</v>
      </c>
      <c r="F10" s="39">
        <f t="shared" si="2"/>
        <v>0.14545454545454548</v>
      </c>
      <c r="G10" s="40">
        <f>COUNTIF(Vertices[In-Degree],"&gt;= "&amp;F10)-COUNTIF(Vertices[In-Degree],"&gt;="&amp;F11)</f>
        <v>0</v>
      </c>
      <c r="H10" s="39">
        <f t="shared" si="3"/>
        <v>0.14545454545454548</v>
      </c>
      <c r="I10" s="40">
        <f>COUNTIF(Vertices[Out-Degree],"&gt;= "&amp;H10)-COUNTIF(Vertices[Out-Degree],"&gt;="&amp;H11)</f>
        <v>0</v>
      </c>
      <c r="J10" s="39">
        <f t="shared" si="4"/>
        <v>0</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0.2</v>
      </c>
      <c r="O10" s="40">
        <f>COUNTIF(Vertices[Eigenvector Centrality],"&gt;= "&amp;N10)-COUNTIF(Vertices[Eigenvector Centrality],"&gt;="&amp;N11)</f>
        <v>0</v>
      </c>
      <c r="P10" s="39">
        <f t="shared" si="7"/>
        <v>0.999895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0.16363636363636366</v>
      </c>
      <c r="G11" s="42">
        <f>COUNTIF(Vertices[In-Degree],"&gt;= "&amp;F11)-COUNTIF(Vertices[In-Degree],"&gt;="&amp;F12)</f>
        <v>0</v>
      </c>
      <c r="H11" s="41">
        <f t="shared" si="3"/>
        <v>0.16363636363636366</v>
      </c>
      <c r="I11" s="42">
        <f>COUNTIF(Vertices[Out-Degree],"&gt;= "&amp;H11)-COUNTIF(Vertices[Out-Degree],"&gt;="&amp;H12)</f>
        <v>0</v>
      </c>
      <c r="J11" s="41">
        <f t="shared" si="4"/>
        <v>0</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0.2</v>
      </c>
      <c r="O11" s="42">
        <f>COUNTIF(Vertices[Eigenvector Centrality],"&gt;= "&amp;N11)-COUNTIF(Vertices[Eigenvector Centrality],"&gt;="&amp;N12)</f>
        <v>0</v>
      </c>
      <c r="P11" s="41">
        <f t="shared" si="7"/>
        <v>0.999895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0.18181818181818185</v>
      </c>
      <c r="G12" s="40">
        <f>COUNTIF(Vertices[In-Degree],"&gt;= "&amp;F12)-COUNTIF(Vertices[In-Degree],"&gt;="&amp;F13)</f>
        <v>0</v>
      </c>
      <c r="H12" s="39">
        <f t="shared" si="3"/>
        <v>0.18181818181818185</v>
      </c>
      <c r="I12" s="40">
        <f>COUNTIF(Vertices[Out-Degree],"&gt;= "&amp;H12)-COUNTIF(Vertices[Out-Degree],"&gt;="&amp;H13)</f>
        <v>0</v>
      </c>
      <c r="J12" s="39">
        <f t="shared" si="4"/>
        <v>0</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0.2</v>
      </c>
      <c r="O12" s="40">
        <f>COUNTIF(Vertices[Eigenvector Centrality],"&gt;= "&amp;N12)-COUNTIF(Vertices[Eigenvector Centrality],"&gt;="&amp;N13)</f>
        <v>0</v>
      </c>
      <c r="P12" s="39">
        <f t="shared" si="7"/>
        <v>0.999895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0.20000000000000004</v>
      </c>
      <c r="G13" s="42">
        <f>COUNTIF(Vertices[In-Degree],"&gt;= "&amp;F13)-COUNTIF(Vertices[In-Degree],"&gt;="&amp;F14)</f>
        <v>0</v>
      </c>
      <c r="H13" s="41">
        <f t="shared" si="3"/>
        <v>0.20000000000000004</v>
      </c>
      <c r="I13" s="42">
        <f>COUNTIF(Vertices[Out-Degree],"&gt;= "&amp;H13)-COUNTIF(Vertices[Out-Degree],"&gt;="&amp;H14)</f>
        <v>0</v>
      </c>
      <c r="J13" s="41">
        <f t="shared" si="4"/>
        <v>0</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0.2</v>
      </c>
      <c r="O13" s="42">
        <f>COUNTIF(Vertices[Eigenvector Centrality],"&gt;= "&amp;N13)-COUNTIF(Vertices[Eigenvector Centrality],"&gt;="&amp;N14)</f>
        <v>0</v>
      </c>
      <c r="P13" s="41">
        <f t="shared" si="7"/>
        <v>0.999895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0.21818181818181823</v>
      </c>
      <c r="G14" s="40">
        <f>COUNTIF(Vertices[In-Degree],"&gt;= "&amp;F14)-COUNTIF(Vertices[In-Degree],"&gt;="&amp;F15)</f>
        <v>0</v>
      </c>
      <c r="H14" s="39">
        <f t="shared" si="3"/>
        <v>0.21818181818181823</v>
      </c>
      <c r="I14" s="40">
        <f>COUNTIF(Vertices[Out-Degree],"&gt;= "&amp;H14)-COUNTIF(Vertices[Out-Degree],"&gt;="&amp;H15)</f>
        <v>0</v>
      </c>
      <c r="J14" s="39">
        <f t="shared" si="4"/>
        <v>0</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0.2</v>
      </c>
      <c r="O14" s="40">
        <f>COUNTIF(Vertices[Eigenvector Centrality],"&gt;= "&amp;N14)-COUNTIF(Vertices[Eigenvector Centrality],"&gt;="&amp;N15)</f>
        <v>0</v>
      </c>
      <c r="P14" s="39">
        <f t="shared" si="7"/>
        <v>0.999895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5</v>
      </c>
      <c r="D15" s="34">
        <f t="shared" si="1"/>
        <v>0</v>
      </c>
      <c r="E15" s="3">
        <f>COUNTIF(Vertices[Degree],"&gt;= "&amp;D15)-COUNTIF(Vertices[Degree],"&gt;="&amp;D16)</f>
        <v>0</v>
      </c>
      <c r="F15" s="41">
        <f t="shared" si="2"/>
        <v>0.23636363636363641</v>
      </c>
      <c r="G15" s="42">
        <f>COUNTIF(Vertices[In-Degree],"&gt;= "&amp;F15)-COUNTIF(Vertices[In-Degree],"&gt;="&amp;F16)</f>
        <v>0</v>
      </c>
      <c r="H15" s="41">
        <f t="shared" si="3"/>
        <v>0.23636363636363641</v>
      </c>
      <c r="I15" s="42">
        <f>COUNTIF(Vertices[Out-Degree],"&gt;= "&amp;H15)-COUNTIF(Vertices[Out-Degree],"&gt;="&amp;H16)</f>
        <v>0</v>
      </c>
      <c r="J15" s="41">
        <f t="shared" si="4"/>
        <v>0</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0.2</v>
      </c>
      <c r="O15" s="42">
        <f>COUNTIF(Vertices[Eigenvector Centrality],"&gt;= "&amp;N15)-COUNTIF(Vertices[Eigenvector Centrality],"&gt;="&amp;N16)</f>
        <v>0</v>
      </c>
      <c r="P15" s="41">
        <f t="shared" si="7"/>
        <v>0.999895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0.2545454545454546</v>
      </c>
      <c r="G16" s="40">
        <f>COUNTIF(Vertices[In-Degree],"&gt;= "&amp;F16)-COUNTIF(Vertices[In-Degree],"&gt;="&amp;F17)</f>
        <v>0</v>
      </c>
      <c r="H16" s="39">
        <f t="shared" si="3"/>
        <v>0.2545454545454546</v>
      </c>
      <c r="I16" s="40">
        <f>COUNTIF(Vertices[Out-Degree],"&gt;= "&amp;H16)-COUNTIF(Vertices[Out-Degree],"&gt;="&amp;H17)</f>
        <v>0</v>
      </c>
      <c r="J16" s="39">
        <f t="shared" si="4"/>
        <v>0</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0.2</v>
      </c>
      <c r="O16" s="40">
        <f>COUNTIF(Vertices[Eigenvector Centrality],"&gt;= "&amp;N16)-COUNTIF(Vertices[Eigenvector Centrality],"&gt;="&amp;N17)</f>
        <v>0</v>
      </c>
      <c r="P16" s="39">
        <f t="shared" si="7"/>
        <v>0.999895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0.27272727272727276</v>
      </c>
      <c r="G17" s="42">
        <f>COUNTIF(Vertices[In-Degree],"&gt;= "&amp;F17)-COUNTIF(Vertices[In-Degree],"&gt;="&amp;F18)</f>
        <v>0</v>
      </c>
      <c r="H17" s="41">
        <f t="shared" si="3"/>
        <v>0.27272727272727276</v>
      </c>
      <c r="I17" s="42">
        <f>COUNTIF(Vertices[Out-Degree],"&gt;= "&amp;H17)-COUNTIF(Vertices[Out-Degree],"&gt;="&amp;H18)</f>
        <v>0</v>
      </c>
      <c r="J17" s="41">
        <f t="shared" si="4"/>
        <v>0</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0.2</v>
      </c>
      <c r="O17" s="42">
        <f>COUNTIF(Vertices[Eigenvector Centrality],"&gt;= "&amp;N17)-COUNTIF(Vertices[Eigenvector Centrality],"&gt;="&amp;N18)</f>
        <v>0</v>
      </c>
      <c r="P17" s="41">
        <f t="shared" si="7"/>
        <v>0.999895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0.29090909090909095</v>
      </c>
      <c r="G18" s="40">
        <f>COUNTIF(Vertices[In-Degree],"&gt;= "&amp;F18)-COUNTIF(Vertices[In-Degree],"&gt;="&amp;F19)</f>
        <v>0</v>
      </c>
      <c r="H18" s="39">
        <f t="shared" si="3"/>
        <v>0.29090909090909095</v>
      </c>
      <c r="I18" s="40">
        <f>COUNTIF(Vertices[Out-Degree],"&gt;= "&amp;H18)-COUNTIF(Vertices[Out-Degree],"&gt;="&amp;H19)</f>
        <v>0</v>
      </c>
      <c r="J18" s="39">
        <f t="shared" si="4"/>
        <v>0</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0.2</v>
      </c>
      <c r="O18" s="40">
        <f>COUNTIF(Vertices[Eigenvector Centrality],"&gt;= "&amp;N18)-COUNTIF(Vertices[Eigenvector Centrality],"&gt;="&amp;N19)</f>
        <v>0</v>
      </c>
      <c r="P18" s="39">
        <f t="shared" si="7"/>
        <v>0.999895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0.30909090909090914</v>
      </c>
      <c r="G19" s="42">
        <f>COUNTIF(Vertices[In-Degree],"&gt;= "&amp;F19)-COUNTIF(Vertices[In-Degree],"&gt;="&amp;F20)</f>
        <v>0</v>
      </c>
      <c r="H19" s="41">
        <f t="shared" si="3"/>
        <v>0.30909090909090914</v>
      </c>
      <c r="I19" s="42">
        <f>COUNTIF(Vertices[Out-Degree],"&gt;= "&amp;H19)-COUNTIF(Vertices[Out-Degree],"&gt;="&amp;H20)</f>
        <v>0</v>
      </c>
      <c r="J19" s="41">
        <f t="shared" si="4"/>
        <v>0</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0.2</v>
      </c>
      <c r="O19" s="42">
        <f>COUNTIF(Vertices[Eigenvector Centrality],"&gt;= "&amp;N19)-COUNTIF(Vertices[Eigenvector Centrality],"&gt;="&amp;N20)</f>
        <v>0</v>
      </c>
      <c r="P19" s="41">
        <f t="shared" si="7"/>
        <v>0.999895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4</v>
      </c>
      <c r="D20" s="34">
        <f t="shared" si="1"/>
        <v>0</v>
      </c>
      <c r="E20" s="3">
        <f>COUNTIF(Vertices[Degree],"&gt;= "&amp;D20)-COUNTIF(Vertices[Degree],"&gt;="&amp;D21)</f>
        <v>0</v>
      </c>
      <c r="F20" s="39">
        <f t="shared" si="2"/>
        <v>0.3272727272727273</v>
      </c>
      <c r="G20" s="40">
        <f>COUNTIF(Vertices[In-Degree],"&gt;= "&amp;F20)-COUNTIF(Vertices[In-Degree],"&gt;="&amp;F21)</f>
        <v>0</v>
      </c>
      <c r="H20" s="39">
        <f t="shared" si="3"/>
        <v>0.3272727272727273</v>
      </c>
      <c r="I20" s="40">
        <f>COUNTIF(Vertices[Out-Degree],"&gt;= "&amp;H20)-COUNTIF(Vertices[Out-Degree],"&gt;="&amp;H21)</f>
        <v>0</v>
      </c>
      <c r="J20" s="39">
        <f t="shared" si="4"/>
        <v>0</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0.2</v>
      </c>
      <c r="O20" s="40">
        <f>COUNTIF(Vertices[Eigenvector Centrality],"&gt;= "&amp;N20)-COUNTIF(Vertices[Eigenvector Centrality],"&gt;="&amp;N21)</f>
        <v>0</v>
      </c>
      <c r="P20" s="39">
        <f t="shared" si="7"/>
        <v>0.999895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3</v>
      </c>
      <c r="D21" s="34">
        <f t="shared" si="1"/>
        <v>0</v>
      </c>
      <c r="E21" s="3">
        <f>COUNTIF(Vertices[Degree],"&gt;= "&amp;D21)-COUNTIF(Vertices[Degree],"&gt;="&amp;D22)</f>
        <v>0</v>
      </c>
      <c r="F21" s="41">
        <f t="shared" si="2"/>
        <v>0.3454545454545455</v>
      </c>
      <c r="G21" s="42">
        <f>COUNTIF(Vertices[In-Degree],"&gt;= "&amp;F21)-COUNTIF(Vertices[In-Degree],"&gt;="&amp;F22)</f>
        <v>0</v>
      </c>
      <c r="H21" s="41">
        <f t="shared" si="3"/>
        <v>0.3454545454545455</v>
      </c>
      <c r="I21" s="42">
        <f>COUNTIF(Vertices[Out-Degree],"&gt;= "&amp;H21)-COUNTIF(Vertices[Out-Degree],"&gt;="&amp;H22)</f>
        <v>0</v>
      </c>
      <c r="J21" s="41">
        <f t="shared" si="4"/>
        <v>0</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0.2</v>
      </c>
      <c r="O21" s="42">
        <f>COUNTIF(Vertices[Eigenvector Centrality],"&gt;= "&amp;N21)-COUNTIF(Vertices[Eigenvector Centrality],"&gt;="&amp;N22)</f>
        <v>0</v>
      </c>
      <c r="P21" s="41">
        <f t="shared" si="7"/>
        <v>0.999895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0.3636363636363637</v>
      </c>
      <c r="G22" s="40">
        <f>COUNTIF(Vertices[In-Degree],"&gt;= "&amp;F22)-COUNTIF(Vertices[In-Degree],"&gt;="&amp;F23)</f>
        <v>0</v>
      </c>
      <c r="H22" s="39">
        <f t="shared" si="3"/>
        <v>0.3636363636363637</v>
      </c>
      <c r="I22" s="40">
        <f>COUNTIF(Vertices[Out-Degree],"&gt;= "&amp;H22)-COUNTIF(Vertices[Out-Degree],"&gt;="&amp;H23)</f>
        <v>0</v>
      </c>
      <c r="J22" s="39">
        <f t="shared" si="4"/>
        <v>0</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0.2</v>
      </c>
      <c r="O22" s="40">
        <f>COUNTIF(Vertices[Eigenvector Centrality],"&gt;= "&amp;N22)-COUNTIF(Vertices[Eigenvector Centrality],"&gt;="&amp;N23)</f>
        <v>0</v>
      </c>
      <c r="P22" s="39">
        <f t="shared" si="7"/>
        <v>0.999895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v>
      </c>
      <c r="D23" s="34">
        <f t="shared" si="1"/>
        <v>0</v>
      </c>
      <c r="E23" s="3">
        <f>COUNTIF(Vertices[Degree],"&gt;= "&amp;D23)-COUNTIF(Vertices[Degree],"&gt;="&amp;D24)</f>
        <v>0</v>
      </c>
      <c r="F23" s="41">
        <f t="shared" si="2"/>
        <v>0.3818181818181819</v>
      </c>
      <c r="G23" s="42">
        <f>COUNTIF(Vertices[In-Degree],"&gt;= "&amp;F23)-COUNTIF(Vertices[In-Degree],"&gt;="&amp;F24)</f>
        <v>0</v>
      </c>
      <c r="H23" s="41">
        <f t="shared" si="3"/>
        <v>0.3818181818181819</v>
      </c>
      <c r="I23" s="42">
        <f>COUNTIF(Vertices[Out-Degree],"&gt;= "&amp;H23)-COUNTIF(Vertices[Out-Degree],"&gt;="&amp;H24)</f>
        <v>0</v>
      </c>
      <c r="J23" s="41">
        <f t="shared" si="4"/>
        <v>0</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0.2</v>
      </c>
      <c r="O23" s="42">
        <f>COUNTIF(Vertices[Eigenvector Centrality],"&gt;= "&amp;N23)-COUNTIF(Vertices[Eigenvector Centrality],"&gt;="&amp;N24)</f>
        <v>0</v>
      </c>
      <c r="P23" s="41">
        <f t="shared" si="7"/>
        <v>0.999895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0.4000000000000001</v>
      </c>
      <c r="G24" s="40">
        <f>COUNTIF(Vertices[In-Degree],"&gt;= "&amp;F24)-COUNTIF(Vertices[In-Degree],"&gt;="&amp;F25)</f>
        <v>0</v>
      </c>
      <c r="H24" s="39">
        <f t="shared" si="3"/>
        <v>0.4000000000000001</v>
      </c>
      <c r="I24" s="40">
        <f>COUNTIF(Vertices[Out-Degree],"&gt;= "&amp;H24)-COUNTIF(Vertices[Out-Degree],"&gt;="&amp;H25)</f>
        <v>0</v>
      </c>
      <c r="J24" s="39">
        <f t="shared" si="4"/>
        <v>0</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0.2</v>
      </c>
      <c r="O24" s="40">
        <f>COUNTIF(Vertices[Eigenvector Centrality],"&gt;= "&amp;N24)-COUNTIF(Vertices[Eigenvector Centrality],"&gt;="&amp;N25)</f>
        <v>0</v>
      </c>
      <c r="P24" s="39">
        <f t="shared" si="7"/>
        <v>0.999895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0.41818181818181827</v>
      </c>
      <c r="G25" s="42">
        <f>COUNTIF(Vertices[In-Degree],"&gt;= "&amp;F25)-COUNTIF(Vertices[In-Degree],"&gt;="&amp;F26)</f>
        <v>0</v>
      </c>
      <c r="H25" s="41">
        <f t="shared" si="3"/>
        <v>0.41818181818181827</v>
      </c>
      <c r="I25" s="42">
        <f>COUNTIF(Vertices[Out-Degree],"&gt;= "&amp;H25)-COUNTIF(Vertices[Out-Degree],"&gt;="&amp;H26)</f>
        <v>0</v>
      </c>
      <c r="J25" s="41">
        <f t="shared" si="4"/>
        <v>0</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0.2</v>
      </c>
      <c r="O25" s="42">
        <f>COUNTIF(Vertices[Eigenvector Centrality],"&gt;= "&amp;N25)-COUNTIF(Vertices[Eigenvector Centrality],"&gt;="&amp;N26)</f>
        <v>0</v>
      </c>
      <c r="P25" s="41">
        <f t="shared" si="7"/>
        <v>0.999895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0.285714</v>
      </c>
      <c r="D26" s="34">
        <f t="shared" si="1"/>
        <v>0</v>
      </c>
      <c r="E26" s="3">
        <f>COUNTIF(Vertices[Degree],"&gt;= "&amp;D26)-COUNTIF(Vertices[Degree],"&gt;="&amp;D28)</f>
        <v>0</v>
      </c>
      <c r="F26" s="39">
        <f t="shared" si="2"/>
        <v>0.43636363636363645</v>
      </c>
      <c r="G26" s="40">
        <f>COUNTIF(Vertices[In-Degree],"&gt;= "&amp;F26)-COUNTIF(Vertices[In-Degree],"&gt;="&amp;F28)</f>
        <v>0</v>
      </c>
      <c r="H26" s="39">
        <f t="shared" si="3"/>
        <v>0.43636363636363645</v>
      </c>
      <c r="I26" s="40">
        <f>COUNTIF(Vertices[Out-Degree],"&gt;= "&amp;H26)-COUNTIF(Vertices[Out-Degree],"&gt;="&amp;H28)</f>
        <v>0</v>
      </c>
      <c r="J26" s="39">
        <f t="shared" si="4"/>
        <v>0</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0.2</v>
      </c>
      <c r="O26" s="40">
        <f>COUNTIF(Vertices[Eigenvector Centrality],"&gt;= "&amp;N26)-COUNTIF(Vertices[Eigenvector Centrality],"&gt;="&amp;N28)</f>
        <v>0</v>
      </c>
      <c r="P26" s="39">
        <f t="shared" si="7"/>
        <v>0.999895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-4</v>
      </c>
      <c r="H27" s="78"/>
      <c r="I27" s="79">
        <f>COUNTIF(Vertices[Out-Degree],"&gt;= "&amp;H27)-COUNTIF(Vertices[Out-Degree],"&gt;="&amp;H28)</f>
        <v>-4</v>
      </c>
      <c r="J27" s="78"/>
      <c r="K27" s="79">
        <f>COUNTIF(Vertices[Betweenness Centrality],"&gt;= "&amp;J27)-COUNTIF(Vertices[Betweenness Centrality],"&gt;="&amp;J28)</f>
        <v>-5</v>
      </c>
      <c r="L27" s="78"/>
      <c r="M27" s="79">
        <f>COUNTIF(Vertices[Closeness Centrality],"&gt;= "&amp;L27)-COUNTIF(Vertices[Closeness Centrality],"&gt;="&amp;L28)</f>
        <v>-2</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36" t="s">
        <v>158</v>
      </c>
      <c r="B28" s="36">
        <v>0.05</v>
      </c>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0.45454545454545464</v>
      </c>
      <c r="I28" s="42">
        <f>COUNTIF(Vertices[Out-Degree],"&gt;= "&amp;H28)-COUNTIF(Vertices[Out-Degree],"&gt;="&amp;H40)</f>
        <v>0</v>
      </c>
      <c r="J28" s="41">
        <f>J26+($J$57-$J$2)/BinDivisor</f>
        <v>0</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0.2</v>
      </c>
      <c r="O28" s="42">
        <f>COUNTIF(Vertices[Eigenvector Centrality],"&gt;= "&amp;N28)-COUNTIF(Vertices[Eigenvector Centrality],"&gt;="&amp;N40)</f>
        <v>0</v>
      </c>
      <c r="P28" s="41">
        <f>P26+($P$57-$P$2)/BinDivisor</f>
        <v>0.999895</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493</v>
      </c>
      <c r="B29" s="36">
        <v>0.326389</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494</v>
      </c>
      <c r="B31" s="36" t="s">
        <v>495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-4</v>
      </c>
      <c r="J38" s="78"/>
      <c r="K38" s="79">
        <f>COUNTIF(Vertices[Betweenness Centrality],"&gt;= "&amp;J38)-COUNTIF(Vertices[Betweenness Centrality],"&gt;="&amp;J40)</f>
        <v>-5</v>
      </c>
      <c r="L38" s="78"/>
      <c r="M38" s="79">
        <f>COUNTIF(Vertices[Closeness Centrality],"&gt;= "&amp;L38)-COUNTIF(Vertices[Closeness Centrality],"&gt;="&amp;L40)</f>
        <v>-2</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-4</v>
      </c>
      <c r="J39" s="78"/>
      <c r="K39" s="79">
        <f>COUNTIF(Vertices[Betweenness Centrality],"&gt;= "&amp;J39)-COUNTIF(Vertices[Betweenness Centrality],"&gt;="&amp;J40)</f>
        <v>-5</v>
      </c>
      <c r="L39" s="78"/>
      <c r="M39" s="79">
        <f>COUNTIF(Vertices[Closeness Centrality],"&gt;= "&amp;L39)-COUNTIF(Vertices[Closeness Centrality],"&gt;="&amp;L40)</f>
        <v>-2</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0.47272727272727283</v>
      </c>
      <c r="I40" s="40">
        <f>COUNTIF(Vertices[Out-Degree],"&gt;= "&amp;H40)-COUNTIF(Vertices[Out-Degree],"&gt;="&amp;H41)</f>
        <v>0</v>
      </c>
      <c r="J40" s="39">
        <f>J28+($J$57-$J$2)/BinDivisor</f>
        <v>0</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0.2</v>
      </c>
      <c r="O40" s="40">
        <f>COUNTIF(Vertices[Eigenvector Centrality],"&gt;= "&amp;N40)-COUNTIF(Vertices[Eigenvector Centrality],"&gt;="&amp;N41)</f>
        <v>0</v>
      </c>
      <c r="P40" s="39">
        <f>P28+($P$57-$P$2)/BinDivisor</f>
        <v>0.999895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0.490909090909091</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0.2</v>
      </c>
      <c r="O41" s="42">
        <f>COUNTIF(Vertices[Eigenvector Centrality],"&gt;= "&amp;N41)-COUNTIF(Vertices[Eigenvector Centrality],"&gt;="&amp;N42)</f>
        <v>0</v>
      </c>
      <c r="P41" s="41">
        <f aca="true" t="shared" si="16" ref="P41:P56">P40+($P$57-$P$2)/BinDivisor</f>
        <v>0.999895</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0.5090909090909091</v>
      </c>
      <c r="I42" s="40">
        <f>COUNTIF(Vertices[Out-Degree],"&gt;= "&amp;H42)-COUNTIF(Vertices[Out-Degree],"&gt;="&amp;H43)</f>
        <v>0</v>
      </c>
      <c r="J42" s="39">
        <f t="shared" si="13"/>
        <v>0</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0.2</v>
      </c>
      <c r="O42" s="40">
        <f>COUNTIF(Vertices[Eigenvector Centrality],"&gt;= "&amp;N42)-COUNTIF(Vertices[Eigenvector Centrality],"&gt;="&amp;N43)</f>
        <v>0</v>
      </c>
      <c r="P42" s="39">
        <f t="shared" si="16"/>
        <v>0.999895</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0.5272727272727273</v>
      </c>
      <c r="G43" s="42">
        <f>COUNTIF(Vertices[In-Degree],"&gt;= "&amp;F43)-COUNTIF(Vertices[In-Degree],"&gt;="&amp;F44)</f>
        <v>0</v>
      </c>
      <c r="H43" s="41">
        <f t="shared" si="12"/>
        <v>0.5272727272727273</v>
      </c>
      <c r="I43" s="42">
        <f>COUNTIF(Vertices[Out-Degree],"&gt;= "&amp;H43)-COUNTIF(Vertices[Out-Degree],"&gt;="&amp;H44)</f>
        <v>0</v>
      </c>
      <c r="J43" s="41">
        <f t="shared" si="13"/>
        <v>0</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0.2</v>
      </c>
      <c r="O43" s="42">
        <f>COUNTIF(Vertices[Eigenvector Centrality],"&gt;= "&amp;N43)-COUNTIF(Vertices[Eigenvector Centrality],"&gt;="&amp;N44)</f>
        <v>0</v>
      </c>
      <c r="P43" s="41">
        <f t="shared" si="16"/>
        <v>0.999895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0.5454545454545455</v>
      </c>
      <c r="I44" s="40">
        <f>COUNTIF(Vertices[Out-Degree],"&gt;= "&amp;H44)-COUNTIF(Vertices[Out-Degree],"&gt;="&amp;H45)</f>
        <v>0</v>
      </c>
      <c r="J44" s="39">
        <f t="shared" si="13"/>
        <v>0</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0.2</v>
      </c>
      <c r="O44" s="40">
        <f>COUNTIF(Vertices[Eigenvector Centrality],"&gt;= "&amp;N44)-COUNTIF(Vertices[Eigenvector Centrality],"&gt;="&amp;N45)</f>
        <v>0</v>
      </c>
      <c r="P44" s="39">
        <f t="shared" si="16"/>
        <v>0.999895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0.5636363636363637</v>
      </c>
      <c r="I45" s="42">
        <f>COUNTIF(Vertices[Out-Degree],"&gt;= "&amp;H45)-COUNTIF(Vertices[Out-Degree],"&gt;="&amp;H46)</f>
        <v>0</v>
      </c>
      <c r="J45" s="41">
        <f t="shared" si="13"/>
        <v>0</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0.2</v>
      </c>
      <c r="O45" s="42">
        <f>COUNTIF(Vertices[Eigenvector Centrality],"&gt;= "&amp;N45)-COUNTIF(Vertices[Eigenvector Centrality],"&gt;="&amp;N46)</f>
        <v>0</v>
      </c>
      <c r="P45" s="41">
        <f t="shared" si="16"/>
        <v>0.999895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0.5818181818181819</v>
      </c>
      <c r="I46" s="40">
        <f>COUNTIF(Vertices[Out-Degree],"&gt;= "&amp;H46)-COUNTIF(Vertices[Out-Degree],"&gt;="&amp;H47)</f>
        <v>0</v>
      </c>
      <c r="J46" s="39">
        <f t="shared" si="13"/>
        <v>0</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0.2</v>
      </c>
      <c r="O46" s="40">
        <f>COUNTIF(Vertices[Eigenvector Centrality],"&gt;= "&amp;N46)-COUNTIF(Vertices[Eigenvector Centrality],"&gt;="&amp;N47)</f>
        <v>0</v>
      </c>
      <c r="P46" s="39">
        <f t="shared" si="16"/>
        <v>0.999895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0.6000000000000001</v>
      </c>
      <c r="I47" s="42">
        <f>COUNTIF(Vertices[Out-Degree],"&gt;= "&amp;H47)-COUNTIF(Vertices[Out-Degree],"&gt;="&amp;H48)</f>
        <v>0</v>
      </c>
      <c r="J47" s="41">
        <f t="shared" si="13"/>
        <v>0</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0.2</v>
      </c>
      <c r="O47" s="42">
        <f>COUNTIF(Vertices[Eigenvector Centrality],"&gt;= "&amp;N47)-COUNTIF(Vertices[Eigenvector Centrality],"&gt;="&amp;N48)</f>
        <v>0</v>
      </c>
      <c r="P47" s="41">
        <f t="shared" si="16"/>
        <v>0.999895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0.6181818181818183</v>
      </c>
      <c r="I48" s="40">
        <f>COUNTIF(Vertices[Out-Degree],"&gt;= "&amp;H48)-COUNTIF(Vertices[Out-Degree],"&gt;="&amp;H49)</f>
        <v>0</v>
      </c>
      <c r="J48" s="39">
        <f t="shared" si="13"/>
        <v>0</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0.2</v>
      </c>
      <c r="O48" s="40">
        <f>COUNTIF(Vertices[Eigenvector Centrality],"&gt;= "&amp;N48)-COUNTIF(Vertices[Eigenvector Centrality],"&gt;="&amp;N49)</f>
        <v>0</v>
      </c>
      <c r="P48" s="39">
        <f t="shared" si="16"/>
        <v>0.999895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0.6363636363636365</v>
      </c>
      <c r="I49" s="42">
        <f>COUNTIF(Vertices[Out-Degree],"&gt;= "&amp;H49)-COUNTIF(Vertices[Out-Degree],"&gt;="&amp;H50)</f>
        <v>0</v>
      </c>
      <c r="J49" s="41">
        <f t="shared" si="13"/>
        <v>0</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0.2</v>
      </c>
      <c r="O49" s="42">
        <f>COUNTIF(Vertices[Eigenvector Centrality],"&gt;= "&amp;N49)-COUNTIF(Vertices[Eigenvector Centrality],"&gt;="&amp;N50)</f>
        <v>0</v>
      </c>
      <c r="P49" s="41">
        <f t="shared" si="16"/>
        <v>0.999895</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0.6545454545454547</v>
      </c>
      <c r="I50" s="40">
        <f>COUNTIF(Vertices[Out-Degree],"&gt;= "&amp;H50)-COUNTIF(Vertices[Out-Degree],"&gt;="&amp;H51)</f>
        <v>0</v>
      </c>
      <c r="J50" s="39">
        <f t="shared" si="13"/>
        <v>0</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v>
      </c>
      <c r="O50" s="40">
        <f>COUNTIF(Vertices[Eigenvector Centrality],"&gt;= "&amp;N50)-COUNTIF(Vertices[Eigenvector Centrality],"&gt;="&amp;N51)</f>
        <v>0</v>
      </c>
      <c r="P50" s="39">
        <f t="shared" si="16"/>
        <v>0.999895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0.6727272727272728</v>
      </c>
      <c r="I51" s="42">
        <f>COUNTIF(Vertices[Out-Degree],"&gt;= "&amp;H51)-COUNTIF(Vertices[Out-Degree],"&gt;="&amp;H52)</f>
        <v>0</v>
      </c>
      <c r="J51" s="41">
        <f t="shared" si="13"/>
        <v>0</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v>
      </c>
      <c r="O51" s="42">
        <f>COUNTIF(Vertices[Eigenvector Centrality],"&gt;= "&amp;N51)-COUNTIF(Vertices[Eigenvector Centrality],"&gt;="&amp;N52)</f>
        <v>0</v>
      </c>
      <c r="P51" s="41">
        <f t="shared" si="16"/>
        <v>0.999895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0.690909090909091</v>
      </c>
      <c r="I52" s="40">
        <f>COUNTIF(Vertices[Out-Degree],"&gt;= "&amp;H52)-COUNTIF(Vertices[Out-Degree],"&gt;="&amp;H53)</f>
        <v>0</v>
      </c>
      <c r="J52" s="39">
        <f t="shared" si="13"/>
        <v>0</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v>
      </c>
      <c r="O52" s="40">
        <f>COUNTIF(Vertices[Eigenvector Centrality],"&gt;= "&amp;N52)-COUNTIF(Vertices[Eigenvector Centrality],"&gt;="&amp;N53)</f>
        <v>0</v>
      </c>
      <c r="P52" s="39">
        <f t="shared" si="16"/>
        <v>0.999895</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0.7090909090909092</v>
      </c>
      <c r="I53" s="42">
        <f>COUNTIF(Vertices[Out-Degree],"&gt;= "&amp;H53)-COUNTIF(Vertices[Out-Degree],"&gt;="&amp;H54)</f>
        <v>0</v>
      </c>
      <c r="J53" s="41">
        <f t="shared" si="13"/>
        <v>0</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v>
      </c>
      <c r="O53" s="42">
        <f>COUNTIF(Vertices[Eigenvector Centrality],"&gt;= "&amp;N53)-COUNTIF(Vertices[Eigenvector Centrality],"&gt;="&amp;N54)</f>
        <v>0</v>
      </c>
      <c r="P53" s="41">
        <f t="shared" si="16"/>
        <v>0.999895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0.7272727272727274</v>
      </c>
      <c r="I54" s="40">
        <f>COUNTIF(Vertices[Out-Degree],"&gt;= "&amp;H54)-COUNTIF(Vertices[Out-Degree],"&gt;="&amp;H55)</f>
        <v>0</v>
      </c>
      <c r="J54" s="39">
        <f t="shared" si="13"/>
        <v>0</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v>
      </c>
      <c r="O54" s="40">
        <f>COUNTIF(Vertices[Eigenvector Centrality],"&gt;= "&amp;N54)-COUNTIF(Vertices[Eigenvector Centrality],"&gt;="&amp;N55)</f>
        <v>0</v>
      </c>
      <c r="P54" s="39">
        <f t="shared" si="16"/>
        <v>0.999895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0.7454545454545456</v>
      </c>
      <c r="I55" s="42">
        <f>COUNTIF(Vertices[Out-Degree],"&gt;= "&amp;H55)-COUNTIF(Vertices[Out-Degree],"&gt;="&amp;H56)</f>
        <v>0</v>
      </c>
      <c r="J55" s="41">
        <f t="shared" si="13"/>
        <v>0</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v>
      </c>
      <c r="O55" s="42">
        <f>COUNTIF(Vertices[Eigenvector Centrality],"&gt;= "&amp;N55)-COUNTIF(Vertices[Eigenvector Centrality],"&gt;="&amp;N56)</f>
        <v>0</v>
      </c>
      <c r="P55" s="41">
        <f t="shared" si="16"/>
        <v>0.999895</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0.7636363636363638</v>
      </c>
      <c r="I56" s="40">
        <f>COUNTIF(Vertices[Out-Degree],"&gt;= "&amp;H56)-COUNTIF(Vertices[Out-Degree],"&gt;="&amp;H57)</f>
        <v>0</v>
      </c>
      <c r="J56" s="39">
        <f t="shared" si="13"/>
        <v>0</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v>
      </c>
      <c r="O56" s="40">
        <f>COUNTIF(Vertices[Eigenvector Centrality],"&gt;= "&amp;N56)-COUNTIF(Vertices[Eigenvector Centrality],"&gt;="&amp;N57)</f>
        <v>0</v>
      </c>
      <c r="P56" s="39">
        <f t="shared" si="16"/>
        <v>0.999895</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4</v>
      </c>
      <c r="H57" s="43">
        <f>MAX(Vertices[Out-Degree])</f>
        <v>1</v>
      </c>
      <c r="I57" s="44">
        <f>COUNTIF(Vertices[Out-Degree],"&gt;= "&amp;H57)-COUNTIF(Vertices[Out-Degree],"&gt;="&amp;H58)</f>
        <v>4</v>
      </c>
      <c r="J57" s="43">
        <f>MAX(Vertices[Betweenness Centrality])</f>
        <v>0</v>
      </c>
      <c r="K57" s="44">
        <f>COUNTIF(Vertices[Betweenness Centrality],"&gt;= "&amp;J57)-COUNTIF(Vertices[Betweenness Centrality],"&gt;="&amp;J58)</f>
        <v>5</v>
      </c>
      <c r="L57" s="43">
        <f>MAX(Vertices[Closeness Centrality])</f>
        <v>1</v>
      </c>
      <c r="M57" s="44">
        <f>COUNTIF(Vertices[Closeness Centrality],"&gt;= "&amp;L57)-COUNTIF(Vertices[Closeness Centrality],"&gt;="&amp;L58)</f>
        <v>2</v>
      </c>
      <c r="N57" s="43">
        <f>MAX(Vertices[Eigenvector Centrality])</f>
        <v>0.2</v>
      </c>
      <c r="O57" s="44">
        <f>COUNTIF(Vertices[Eigenvector Centrality],"&gt;= "&amp;N57)-COUNTIF(Vertices[Eigenvector Centrality],"&gt;="&amp;N58)</f>
        <v>5</v>
      </c>
      <c r="P57" s="43">
        <f>MAX(Vertices[PageRank])</f>
        <v>0.999895</v>
      </c>
      <c r="Q57" s="44">
        <f>COUNTIF(Vertices[PageRank],"&gt;= "&amp;P57)-COUNTIF(Vertices[PageRank],"&gt;="&amp;P58)</f>
        <v>5</v>
      </c>
      <c r="R57" s="43">
        <f>MAX(Vertices[Clustering Coefficient])</f>
        <v>0</v>
      </c>
      <c r="S57" s="47">
        <f>COUNTIF(Vertices[Clustering Coefficient],"&gt;= "&amp;R57)-COUNTIF(Vertices[Clustering Coefficient],"&gt;="&amp;R58)</f>
        <v>5</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v>
      </c>
    </row>
    <row r="85" spans="1:2" ht="15">
      <c r="A85" s="35" t="s">
        <v>96</v>
      </c>
      <c r="B85" s="49">
        <f>_xlfn.IFERROR(AVERAGE(Vertices[Out-Degree]),NoMetricMessage)</f>
        <v>0.8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0</v>
      </c>
    </row>
    <row r="99" spans="1:2" ht="15">
      <c r="A99" s="35" t="s">
        <v>102</v>
      </c>
      <c r="B99" s="49">
        <f>_xlfn.IFERROR(AVERAGE(Vertices[Betweenness Centrality]),NoMetricMessage)</f>
        <v>0</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0.4</v>
      </c>
    </row>
    <row r="114" spans="1:2" ht="15">
      <c r="A114" s="35" t="s">
        <v>109</v>
      </c>
      <c r="B114" s="49">
        <f>_xlfn.IFERROR(MEDIAN(Vertices[Closeness Centrality]),NoMetricMessage)</f>
        <v>0</v>
      </c>
    </row>
    <row r="125" spans="1:2" ht="15">
      <c r="A125" s="35" t="s">
        <v>112</v>
      </c>
      <c r="B125" s="49">
        <f>IF(COUNT(Vertices[Eigenvector Centrality])&gt;0,N2,NoMetricMessage)</f>
        <v>0.2</v>
      </c>
    </row>
    <row r="126" spans="1:2" ht="15">
      <c r="A126" s="35" t="s">
        <v>113</v>
      </c>
      <c r="B126" s="49">
        <f>IF(COUNT(Vertices[Eigenvector Centrality])&gt;0,N57,NoMetricMessage)</f>
        <v>0.2</v>
      </c>
    </row>
    <row r="127" spans="1:2" ht="15">
      <c r="A127" s="35" t="s">
        <v>114</v>
      </c>
      <c r="B127" s="49">
        <f>_xlfn.IFERROR(AVERAGE(Vertices[Eigenvector Centrality]),NoMetricMessage)</f>
        <v>0.2</v>
      </c>
    </row>
    <row r="128" spans="1:2" ht="15">
      <c r="A128" s="35" t="s">
        <v>115</v>
      </c>
      <c r="B128" s="49">
        <f>_xlfn.IFERROR(MEDIAN(Vertices[Eigenvector Centrality]),NoMetricMessage)</f>
        <v>0.2</v>
      </c>
    </row>
    <row r="139" spans="1:2" ht="15">
      <c r="A139" s="35" t="s">
        <v>140</v>
      </c>
      <c r="B139" s="49">
        <f>IF(COUNT(Vertices[PageRank])&gt;0,P2,NoMetricMessage)</f>
        <v>0.999895</v>
      </c>
    </row>
    <row r="140" spans="1:2" ht="15">
      <c r="A140" s="35" t="s">
        <v>141</v>
      </c>
      <c r="B140" s="49">
        <f>IF(COUNT(Vertices[PageRank])&gt;0,P57,NoMetricMessage)</f>
        <v>0.999895</v>
      </c>
    </row>
    <row r="141" spans="1:2" ht="15">
      <c r="A141" s="35" t="s">
        <v>142</v>
      </c>
      <c r="B141" s="49">
        <f>_xlfn.IFERROR(AVERAGE(Vertices[PageRank]),NoMetricMessage)</f>
        <v>0.9998950000000001</v>
      </c>
    </row>
    <row r="142" spans="1:2" ht="15">
      <c r="A142" s="35" t="s">
        <v>143</v>
      </c>
      <c r="B142" s="49">
        <f>_xlfn.IFERROR(MEDIAN(Vertices[PageRank]),NoMetricMessage)</f>
        <v>0.999895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314</v>
      </c>
      <c r="K7" s="13" t="s">
        <v>315</v>
      </c>
    </row>
    <row r="8" spans="1:11" ht="409.5">
      <c r="A8"/>
      <c r="B8">
        <v>2</v>
      </c>
      <c r="C8">
        <v>2</v>
      </c>
      <c r="D8" t="s">
        <v>61</v>
      </c>
      <c r="E8" t="s">
        <v>61</v>
      </c>
      <c r="H8" t="s">
        <v>73</v>
      </c>
      <c r="J8" t="s">
        <v>316</v>
      </c>
      <c r="K8" s="13" t="s">
        <v>317</v>
      </c>
    </row>
    <row r="9" spans="1:11" ht="409.5">
      <c r="A9"/>
      <c r="B9">
        <v>3</v>
      </c>
      <c r="C9">
        <v>4</v>
      </c>
      <c r="D9" t="s">
        <v>62</v>
      </c>
      <c r="E9" t="s">
        <v>62</v>
      </c>
      <c r="H9" t="s">
        <v>74</v>
      </c>
      <c r="J9" t="s">
        <v>318</v>
      </c>
      <c r="K9" s="13" t="s">
        <v>319</v>
      </c>
    </row>
    <row r="10" spans="1:11" ht="409.5">
      <c r="A10"/>
      <c r="B10">
        <v>4</v>
      </c>
      <c r="D10" t="s">
        <v>63</v>
      </c>
      <c r="E10" t="s">
        <v>63</v>
      </c>
      <c r="H10" t="s">
        <v>75</v>
      </c>
      <c r="J10" t="s">
        <v>320</v>
      </c>
      <c r="K10" s="13" t="s">
        <v>321</v>
      </c>
    </row>
    <row r="11" spans="1:11" ht="15">
      <c r="A11"/>
      <c r="B11">
        <v>5</v>
      </c>
      <c r="D11" t="s">
        <v>46</v>
      </c>
      <c r="E11">
        <v>1</v>
      </c>
      <c r="H11" t="s">
        <v>76</v>
      </c>
      <c r="J11" t="s">
        <v>322</v>
      </c>
      <c r="K11" t="s">
        <v>323</v>
      </c>
    </row>
    <row r="12" spans="1:11" ht="15">
      <c r="A12"/>
      <c r="B12"/>
      <c r="D12" t="s">
        <v>64</v>
      </c>
      <c r="E12">
        <v>2</v>
      </c>
      <c r="H12">
        <v>0</v>
      </c>
      <c r="J12" t="s">
        <v>324</v>
      </c>
      <c r="K12" t="s">
        <v>325</v>
      </c>
    </row>
    <row r="13" spans="1:11" ht="15">
      <c r="A13"/>
      <c r="B13"/>
      <c r="D13">
        <v>1</v>
      </c>
      <c r="E13">
        <v>3</v>
      </c>
      <c r="H13">
        <v>1</v>
      </c>
      <c r="J13" t="s">
        <v>326</v>
      </c>
      <c r="K13" t="s">
        <v>327</v>
      </c>
    </row>
    <row r="14" spans="4:11" ht="15">
      <c r="D14">
        <v>2</v>
      </c>
      <c r="E14">
        <v>4</v>
      </c>
      <c r="H14">
        <v>2</v>
      </c>
      <c r="J14" t="s">
        <v>328</v>
      </c>
      <c r="K14" t="s">
        <v>329</v>
      </c>
    </row>
    <row r="15" spans="4:11" ht="15">
      <c r="D15">
        <v>3</v>
      </c>
      <c r="E15">
        <v>5</v>
      </c>
      <c r="H15">
        <v>3</v>
      </c>
      <c r="J15" t="s">
        <v>330</v>
      </c>
      <c r="K15" t="s">
        <v>331</v>
      </c>
    </row>
    <row r="16" spans="4:11" ht="15">
      <c r="D16">
        <v>4</v>
      </c>
      <c r="E16">
        <v>6</v>
      </c>
      <c r="H16">
        <v>4</v>
      </c>
      <c r="J16" t="s">
        <v>332</v>
      </c>
      <c r="K16" t="s">
        <v>333</v>
      </c>
    </row>
    <row r="17" spans="4:11" ht="15">
      <c r="D17">
        <v>5</v>
      </c>
      <c r="E17">
        <v>7</v>
      </c>
      <c r="H17">
        <v>5</v>
      </c>
      <c r="J17" t="s">
        <v>334</v>
      </c>
      <c r="K17" t="s">
        <v>335</v>
      </c>
    </row>
    <row r="18" spans="4:11" ht="15">
      <c r="D18">
        <v>6</v>
      </c>
      <c r="E18">
        <v>8</v>
      </c>
      <c r="H18">
        <v>6</v>
      </c>
      <c r="J18" t="s">
        <v>336</v>
      </c>
      <c r="K18" t="s">
        <v>337</v>
      </c>
    </row>
    <row r="19" spans="4:11" ht="15">
      <c r="D19">
        <v>7</v>
      </c>
      <c r="E19">
        <v>9</v>
      </c>
      <c r="H19">
        <v>7</v>
      </c>
      <c r="J19" t="s">
        <v>338</v>
      </c>
      <c r="K19" t="s">
        <v>339</v>
      </c>
    </row>
    <row r="20" spans="4:11" ht="15">
      <c r="D20">
        <v>8</v>
      </c>
      <c r="H20">
        <v>8</v>
      </c>
      <c r="J20" t="s">
        <v>340</v>
      </c>
      <c r="K20" t="s">
        <v>341</v>
      </c>
    </row>
    <row r="21" spans="4:11" ht="409.5">
      <c r="D21">
        <v>9</v>
      </c>
      <c r="H21">
        <v>9</v>
      </c>
      <c r="J21" t="s">
        <v>342</v>
      </c>
      <c r="K21" s="13" t="s">
        <v>343</v>
      </c>
    </row>
    <row r="22" spans="4:11" ht="409.5">
      <c r="D22">
        <v>10</v>
      </c>
      <c r="J22" t="s">
        <v>344</v>
      </c>
      <c r="K22" s="13" t="s">
        <v>345</v>
      </c>
    </row>
    <row r="23" spans="4:11" ht="409.5">
      <c r="D23">
        <v>11</v>
      </c>
      <c r="J23" t="s">
        <v>346</v>
      </c>
      <c r="K23" s="13" t="s">
        <v>347</v>
      </c>
    </row>
    <row r="24" spans="10:11" ht="409.5">
      <c r="J24" t="s">
        <v>348</v>
      </c>
      <c r="K24" s="13" t="s">
        <v>516</v>
      </c>
    </row>
    <row r="25" spans="10:11" ht="15">
      <c r="J25" t="s">
        <v>349</v>
      </c>
      <c r="K25" t="b">
        <v>0</v>
      </c>
    </row>
    <row r="26" spans="10:11" ht="15">
      <c r="J26" t="s">
        <v>514</v>
      </c>
      <c r="K26" t="s">
        <v>515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359</v>
      </c>
      <c r="B1" s="13" t="s">
        <v>364</v>
      </c>
      <c r="C1" s="13" t="s">
        <v>365</v>
      </c>
      <c r="D1" s="13" t="s">
        <v>367</v>
      </c>
      <c r="E1" s="13" t="s">
        <v>366</v>
      </c>
      <c r="F1" s="13" t="s">
        <v>368</v>
      </c>
    </row>
    <row r="2" spans="1:6" ht="15">
      <c r="A2" s="89" t="s">
        <v>360</v>
      </c>
      <c r="B2" s="85">
        <v>2</v>
      </c>
      <c r="C2" s="89" t="s">
        <v>360</v>
      </c>
      <c r="D2" s="85">
        <v>2</v>
      </c>
      <c r="E2" s="89" t="s">
        <v>225</v>
      </c>
      <c r="F2" s="85">
        <v>1</v>
      </c>
    </row>
    <row r="3" spans="1:6" ht="15">
      <c r="A3" s="89" t="s">
        <v>361</v>
      </c>
      <c r="B3" s="85">
        <v>2</v>
      </c>
      <c r="C3" s="89" t="s">
        <v>361</v>
      </c>
      <c r="D3" s="85">
        <v>2</v>
      </c>
      <c r="E3" s="85"/>
      <c r="F3" s="85"/>
    </row>
    <row r="4" spans="1:6" ht="15">
      <c r="A4" s="89" t="s">
        <v>227</v>
      </c>
      <c r="B4" s="85">
        <v>1</v>
      </c>
      <c r="C4" s="89" t="s">
        <v>223</v>
      </c>
      <c r="D4" s="85">
        <v>1</v>
      </c>
      <c r="E4" s="85"/>
      <c r="F4" s="85"/>
    </row>
    <row r="5" spans="1:6" ht="15">
      <c r="A5" s="89" t="s">
        <v>362</v>
      </c>
      <c r="B5" s="85">
        <v>1</v>
      </c>
      <c r="C5" s="89" t="s">
        <v>227</v>
      </c>
      <c r="D5" s="85">
        <v>1</v>
      </c>
      <c r="E5" s="85"/>
      <c r="F5" s="85"/>
    </row>
    <row r="6" spans="1:6" ht="15">
      <c r="A6" s="89" t="s">
        <v>363</v>
      </c>
      <c r="B6" s="85">
        <v>1</v>
      </c>
      <c r="C6" s="89" t="s">
        <v>362</v>
      </c>
      <c r="D6" s="85">
        <v>1</v>
      </c>
      <c r="E6" s="85"/>
      <c r="F6" s="85"/>
    </row>
    <row r="7" spans="1:6" ht="15">
      <c r="A7" s="89" t="s">
        <v>225</v>
      </c>
      <c r="B7" s="85">
        <v>1</v>
      </c>
      <c r="C7" s="89" t="s">
        <v>363</v>
      </c>
      <c r="D7" s="85">
        <v>1</v>
      </c>
      <c r="E7" s="85"/>
      <c r="F7" s="85"/>
    </row>
    <row r="8" spans="1:6" ht="15">
      <c r="A8" s="89" t="s">
        <v>223</v>
      </c>
      <c r="B8" s="85">
        <v>1</v>
      </c>
      <c r="C8" s="85"/>
      <c r="D8" s="85"/>
      <c r="E8" s="85"/>
      <c r="F8" s="85"/>
    </row>
    <row r="11" spans="1:6" ht="15" customHeight="1">
      <c r="A11" s="13" t="s">
        <v>371</v>
      </c>
      <c r="B11" s="13" t="s">
        <v>364</v>
      </c>
      <c r="C11" s="13" t="s">
        <v>374</v>
      </c>
      <c r="D11" s="13" t="s">
        <v>367</v>
      </c>
      <c r="E11" s="13" t="s">
        <v>375</v>
      </c>
      <c r="F11" s="13" t="s">
        <v>368</v>
      </c>
    </row>
    <row r="12" spans="1:6" ht="15">
      <c r="A12" s="85" t="s">
        <v>372</v>
      </c>
      <c r="B12" s="85">
        <v>4</v>
      </c>
      <c r="C12" s="85" t="s">
        <v>372</v>
      </c>
      <c r="D12" s="85">
        <v>4</v>
      </c>
      <c r="E12" s="85" t="s">
        <v>230</v>
      </c>
      <c r="F12" s="85">
        <v>1</v>
      </c>
    </row>
    <row r="13" spans="1:6" ht="15">
      <c r="A13" s="85" t="s">
        <v>232</v>
      </c>
      <c r="B13" s="85">
        <v>2</v>
      </c>
      <c r="C13" s="85" t="s">
        <v>232</v>
      </c>
      <c r="D13" s="85">
        <v>2</v>
      </c>
      <c r="E13" s="85"/>
      <c r="F13" s="85"/>
    </row>
    <row r="14" spans="1:6" ht="15">
      <c r="A14" s="85" t="s">
        <v>373</v>
      </c>
      <c r="B14" s="85">
        <v>1</v>
      </c>
      <c r="C14" s="85" t="s">
        <v>228</v>
      </c>
      <c r="D14" s="85">
        <v>1</v>
      </c>
      <c r="E14" s="85"/>
      <c r="F14" s="85"/>
    </row>
    <row r="15" spans="1:6" ht="15">
      <c r="A15" s="85" t="s">
        <v>230</v>
      </c>
      <c r="B15" s="85">
        <v>1</v>
      </c>
      <c r="C15" s="85" t="s">
        <v>373</v>
      </c>
      <c r="D15" s="85">
        <v>1</v>
      </c>
      <c r="E15" s="85"/>
      <c r="F15" s="85"/>
    </row>
    <row r="16" spans="1:6" ht="15">
      <c r="A16" s="85" t="s">
        <v>228</v>
      </c>
      <c r="B16" s="85">
        <v>1</v>
      </c>
      <c r="C16" s="85"/>
      <c r="D16" s="85"/>
      <c r="E16" s="85"/>
      <c r="F16" s="85"/>
    </row>
    <row r="19" spans="1:6" ht="15" customHeight="1">
      <c r="A19" s="13" t="s">
        <v>378</v>
      </c>
      <c r="B19" s="13" t="s">
        <v>364</v>
      </c>
      <c r="C19" s="13" t="s">
        <v>381</v>
      </c>
      <c r="D19" s="13" t="s">
        <v>367</v>
      </c>
      <c r="E19" s="13" t="s">
        <v>382</v>
      </c>
      <c r="F19" s="13" t="s">
        <v>368</v>
      </c>
    </row>
    <row r="20" spans="1:6" ht="15">
      <c r="A20" s="85" t="s">
        <v>233</v>
      </c>
      <c r="B20" s="85">
        <v>2</v>
      </c>
      <c r="C20" s="85" t="s">
        <v>233</v>
      </c>
      <c r="D20" s="85">
        <v>2</v>
      </c>
      <c r="E20" s="85" t="s">
        <v>379</v>
      </c>
      <c r="F20" s="85">
        <v>1</v>
      </c>
    </row>
    <row r="21" spans="1:6" ht="15">
      <c r="A21" s="85" t="s">
        <v>379</v>
      </c>
      <c r="B21" s="85">
        <v>1</v>
      </c>
      <c r="C21" s="85"/>
      <c r="D21" s="85"/>
      <c r="E21" s="85" t="s">
        <v>380</v>
      </c>
      <c r="F21" s="85">
        <v>1</v>
      </c>
    </row>
    <row r="22" spans="1:6" ht="15">
      <c r="A22" s="85" t="s">
        <v>380</v>
      </c>
      <c r="B22" s="85">
        <v>1</v>
      </c>
      <c r="C22" s="85"/>
      <c r="D22" s="85"/>
      <c r="E22" s="85"/>
      <c r="F22" s="85"/>
    </row>
    <row r="25" spans="1:6" ht="15" customHeight="1">
      <c r="A25" s="13" t="s">
        <v>384</v>
      </c>
      <c r="B25" s="13" t="s">
        <v>364</v>
      </c>
      <c r="C25" s="13" t="s">
        <v>395</v>
      </c>
      <c r="D25" s="13" t="s">
        <v>367</v>
      </c>
      <c r="E25" s="85" t="s">
        <v>400</v>
      </c>
      <c r="F25" s="85" t="s">
        <v>368</v>
      </c>
    </row>
    <row r="26" spans="1:6" ht="15">
      <c r="A26" s="91" t="s">
        <v>385</v>
      </c>
      <c r="B26" s="91">
        <v>2</v>
      </c>
      <c r="C26" s="91" t="s">
        <v>390</v>
      </c>
      <c r="D26" s="91">
        <v>5</v>
      </c>
      <c r="E26" s="91"/>
      <c r="F26" s="91"/>
    </row>
    <row r="27" spans="1:6" ht="15">
      <c r="A27" s="91" t="s">
        <v>386</v>
      </c>
      <c r="B27" s="91">
        <v>1</v>
      </c>
      <c r="C27" s="91" t="s">
        <v>379</v>
      </c>
      <c r="D27" s="91">
        <v>4</v>
      </c>
      <c r="E27" s="91"/>
      <c r="F27" s="91"/>
    </row>
    <row r="28" spans="1:6" ht="15">
      <c r="A28" s="91" t="s">
        <v>387</v>
      </c>
      <c r="B28" s="91">
        <v>0</v>
      </c>
      <c r="C28" s="91" t="s">
        <v>391</v>
      </c>
      <c r="D28" s="91">
        <v>4</v>
      </c>
      <c r="E28" s="91"/>
      <c r="F28" s="91"/>
    </row>
    <row r="29" spans="1:6" ht="15">
      <c r="A29" s="91" t="s">
        <v>388</v>
      </c>
      <c r="B29" s="91">
        <v>106</v>
      </c>
      <c r="C29" s="91" t="s">
        <v>392</v>
      </c>
      <c r="D29" s="91">
        <v>4</v>
      </c>
      <c r="E29" s="91"/>
      <c r="F29" s="91"/>
    </row>
    <row r="30" spans="1:6" ht="15">
      <c r="A30" s="91" t="s">
        <v>389</v>
      </c>
      <c r="B30" s="91">
        <v>109</v>
      </c>
      <c r="C30" s="91" t="s">
        <v>393</v>
      </c>
      <c r="D30" s="91">
        <v>4</v>
      </c>
      <c r="E30" s="91"/>
      <c r="F30" s="91"/>
    </row>
    <row r="31" spans="1:6" ht="15">
      <c r="A31" s="91" t="s">
        <v>390</v>
      </c>
      <c r="B31" s="91">
        <v>5</v>
      </c>
      <c r="C31" s="91" t="s">
        <v>394</v>
      </c>
      <c r="D31" s="91">
        <v>4</v>
      </c>
      <c r="E31" s="91"/>
      <c r="F31" s="91"/>
    </row>
    <row r="32" spans="1:6" ht="15">
      <c r="A32" s="91" t="s">
        <v>391</v>
      </c>
      <c r="B32" s="91">
        <v>5</v>
      </c>
      <c r="C32" s="91" t="s">
        <v>396</v>
      </c>
      <c r="D32" s="91">
        <v>3</v>
      </c>
      <c r="E32" s="91"/>
      <c r="F32" s="91"/>
    </row>
    <row r="33" spans="1:6" ht="15">
      <c r="A33" s="91" t="s">
        <v>392</v>
      </c>
      <c r="B33" s="91">
        <v>5</v>
      </c>
      <c r="C33" s="91" t="s">
        <v>397</v>
      </c>
      <c r="D33" s="91">
        <v>2</v>
      </c>
      <c r="E33" s="91"/>
      <c r="F33" s="91"/>
    </row>
    <row r="34" spans="1:6" ht="15">
      <c r="A34" s="91" t="s">
        <v>393</v>
      </c>
      <c r="B34" s="91">
        <v>5</v>
      </c>
      <c r="C34" s="91" t="s">
        <v>398</v>
      </c>
      <c r="D34" s="91">
        <v>2</v>
      </c>
      <c r="E34" s="91"/>
      <c r="F34" s="91"/>
    </row>
    <row r="35" spans="1:6" ht="15">
      <c r="A35" s="91" t="s">
        <v>394</v>
      </c>
      <c r="B35" s="91">
        <v>5</v>
      </c>
      <c r="C35" s="91" t="s">
        <v>399</v>
      </c>
      <c r="D35" s="91">
        <v>2</v>
      </c>
      <c r="E35" s="91"/>
      <c r="F35" s="91"/>
    </row>
    <row r="38" spans="1:6" ht="15" customHeight="1">
      <c r="A38" s="13" t="s">
        <v>403</v>
      </c>
      <c r="B38" s="13" t="s">
        <v>364</v>
      </c>
      <c r="C38" s="13" t="s">
        <v>414</v>
      </c>
      <c r="D38" s="13" t="s">
        <v>367</v>
      </c>
      <c r="E38" s="85" t="s">
        <v>417</v>
      </c>
      <c r="F38" s="85" t="s">
        <v>368</v>
      </c>
    </row>
    <row r="39" spans="1:6" ht="15">
      <c r="A39" s="91" t="s">
        <v>404</v>
      </c>
      <c r="B39" s="91">
        <v>5</v>
      </c>
      <c r="C39" s="91" t="s">
        <v>404</v>
      </c>
      <c r="D39" s="91">
        <v>4</v>
      </c>
      <c r="E39" s="91"/>
      <c r="F39" s="91"/>
    </row>
    <row r="40" spans="1:6" ht="15">
      <c r="A40" s="91" t="s">
        <v>405</v>
      </c>
      <c r="B40" s="91">
        <v>5</v>
      </c>
      <c r="C40" s="91" t="s">
        <v>405</v>
      </c>
      <c r="D40" s="91">
        <v>4</v>
      </c>
      <c r="E40" s="91"/>
      <c r="F40" s="91"/>
    </row>
    <row r="41" spans="1:6" ht="15">
      <c r="A41" s="91" t="s">
        <v>406</v>
      </c>
      <c r="B41" s="91">
        <v>5</v>
      </c>
      <c r="C41" s="91" t="s">
        <v>406</v>
      </c>
      <c r="D41" s="91">
        <v>4</v>
      </c>
      <c r="E41" s="91"/>
      <c r="F41" s="91"/>
    </row>
    <row r="42" spans="1:6" ht="15">
      <c r="A42" s="91" t="s">
        <v>407</v>
      </c>
      <c r="B42" s="91">
        <v>2</v>
      </c>
      <c r="C42" s="91" t="s">
        <v>410</v>
      </c>
      <c r="D42" s="91">
        <v>2</v>
      </c>
      <c r="E42" s="91"/>
      <c r="F42" s="91"/>
    </row>
    <row r="43" spans="1:6" ht="15">
      <c r="A43" s="91" t="s">
        <v>408</v>
      </c>
      <c r="B43" s="91">
        <v>2</v>
      </c>
      <c r="C43" s="91" t="s">
        <v>411</v>
      </c>
      <c r="D43" s="91">
        <v>2</v>
      </c>
      <c r="E43" s="91"/>
      <c r="F43" s="91"/>
    </row>
    <row r="44" spans="1:6" ht="15">
      <c r="A44" s="91" t="s">
        <v>409</v>
      </c>
      <c r="B44" s="91">
        <v>2</v>
      </c>
      <c r="C44" s="91" t="s">
        <v>412</v>
      </c>
      <c r="D44" s="91">
        <v>2</v>
      </c>
      <c r="E44" s="91"/>
      <c r="F44" s="91"/>
    </row>
    <row r="45" spans="1:6" ht="15">
      <c r="A45" s="91" t="s">
        <v>410</v>
      </c>
      <c r="B45" s="91">
        <v>2</v>
      </c>
      <c r="C45" s="91" t="s">
        <v>413</v>
      </c>
      <c r="D45" s="91">
        <v>2</v>
      </c>
      <c r="E45" s="91"/>
      <c r="F45" s="91"/>
    </row>
    <row r="46" spans="1:6" ht="15">
      <c r="A46" s="91" t="s">
        <v>411</v>
      </c>
      <c r="B46" s="91">
        <v>2</v>
      </c>
      <c r="C46" s="91" t="s">
        <v>415</v>
      </c>
      <c r="D46" s="91">
        <v>2</v>
      </c>
      <c r="E46" s="91"/>
      <c r="F46" s="91"/>
    </row>
    <row r="47" spans="1:6" ht="15">
      <c r="A47" s="91" t="s">
        <v>412</v>
      </c>
      <c r="B47" s="91">
        <v>2</v>
      </c>
      <c r="C47" s="91" t="s">
        <v>416</v>
      </c>
      <c r="D47" s="91">
        <v>2</v>
      </c>
      <c r="E47" s="91"/>
      <c r="F47" s="91"/>
    </row>
    <row r="48" spans="1:6" ht="15">
      <c r="A48" s="91" t="s">
        <v>413</v>
      </c>
      <c r="B48" s="91">
        <v>2</v>
      </c>
      <c r="C48" s="91" t="s">
        <v>407</v>
      </c>
      <c r="D48" s="91">
        <v>2</v>
      </c>
      <c r="E48" s="91"/>
      <c r="F48" s="91"/>
    </row>
    <row r="51" spans="1:6" ht="15" customHeight="1">
      <c r="A51" s="13" t="s">
        <v>420</v>
      </c>
      <c r="B51" s="13" t="s">
        <v>364</v>
      </c>
      <c r="C51" s="85" t="s">
        <v>422</v>
      </c>
      <c r="D51" s="85" t="s">
        <v>367</v>
      </c>
      <c r="E51" s="13" t="s">
        <v>423</v>
      </c>
      <c r="F51" s="13" t="s">
        <v>368</v>
      </c>
    </row>
    <row r="52" spans="1:6" ht="15">
      <c r="A52" s="85" t="s">
        <v>216</v>
      </c>
      <c r="B52" s="85">
        <v>1</v>
      </c>
      <c r="C52" s="85"/>
      <c r="D52" s="85"/>
      <c r="E52" s="85" t="s">
        <v>216</v>
      </c>
      <c r="F52" s="85">
        <v>1</v>
      </c>
    </row>
    <row r="55" spans="1:6" ht="15" customHeight="1">
      <c r="A55" s="85" t="s">
        <v>421</v>
      </c>
      <c r="B55" s="85" t="s">
        <v>364</v>
      </c>
      <c r="C55" s="85" t="s">
        <v>424</v>
      </c>
      <c r="D55" s="85" t="s">
        <v>367</v>
      </c>
      <c r="E55" s="85" t="s">
        <v>425</v>
      </c>
      <c r="F55" s="85" t="s">
        <v>368</v>
      </c>
    </row>
    <row r="56" spans="1:6" ht="15">
      <c r="A56" s="85"/>
      <c r="B56" s="85"/>
      <c r="C56" s="85"/>
      <c r="D56" s="85"/>
      <c r="E56" s="85"/>
      <c r="F56" s="85"/>
    </row>
    <row r="58" spans="1:6" ht="15" customHeight="1">
      <c r="A58" s="13" t="s">
        <v>428</v>
      </c>
      <c r="B58" s="13" t="s">
        <v>364</v>
      </c>
      <c r="C58" s="13" t="s">
        <v>429</v>
      </c>
      <c r="D58" s="13" t="s">
        <v>367</v>
      </c>
      <c r="E58" s="13" t="s">
        <v>430</v>
      </c>
      <c r="F58" s="13" t="s">
        <v>368</v>
      </c>
    </row>
    <row r="59" spans="1:6" ht="15">
      <c r="A59" s="124" t="s">
        <v>215</v>
      </c>
      <c r="B59" s="85">
        <v>78778</v>
      </c>
      <c r="C59" s="124" t="s">
        <v>215</v>
      </c>
      <c r="D59" s="85">
        <v>78778</v>
      </c>
      <c r="E59" s="124" t="s">
        <v>216</v>
      </c>
      <c r="F59" s="85">
        <v>5661</v>
      </c>
    </row>
    <row r="60" spans="1:6" ht="15">
      <c r="A60" s="124" t="s">
        <v>216</v>
      </c>
      <c r="B60" s="85">
        <v>5661</v>
      </c>
      <c r="C60" s="124" t="s">
        <v>213</v>
      </c>
      <c r="D60" s="85">
        <v>2908</v>
      </c>
      <c r="E60" s="124" t="s">
        <v>214</v>
      </c>
      <c r="F60" s="85">
        <v>457</v>
      </c>
    </row>
    <row r="61" spans="1:6" ht="15">
      <c r="A61" s="124" t="s">
        <v>213</v>
      </c>
      <c r="B61" s="85">
        <v>2908</v>
      </c>
      <c r="C61" s="124" t="s">
        <v>212</v>
      </c>
      <c r="D61" s="85">
        <v>167</v>
      </c>
      <c r="E61" s="124"/>
      <c r="F61" s="85"/>
    </row>
    <row r="62" spans="1:6" ht="15">
      <c r="A62" s="124" t="s">
        <v>214</v>
      </c>
      <c r="B62" s="85">
        <v>457</v>
      </c>
      <c r="C62" s="124"/>
      <c r="D62" s="85"/>
      <c r="E62" s="124"/>
      <c r="F62" s="85"/>
    </row>
    <row r="63" spans="1:6" ht="15">
      <c r="A63" s="124" t="s">
        <v>212</v>
      </c>
      <c r="B63" s="85">
        <v>167</v>
      </c>
      <c r="C63" s="124"/>
      <c r="D63" s="85"/>
      <c r="E63" s="124"/>
      <c r="F63" s="85"/>
    </row>
  </sheetData>
  <hyperlinks>
    <hyperlink ref="A2" r:id="rId1" display="http://www.pyvnts.com/oct-2019-pyvnts.html"/>
    <hyperlink ref="A3" r:id="rId2" display="http://www.pyvnts.com/"/>
    <hyperlink ref="A4" r:id="rId3" display="https://arstechnica.com/?p=1548369"/>
    <hyperlink ref="A5" r:id="rId4" display="https://arstechnica.com/?p=1539281"/>
    <hyperlink ref="A6" r:id="rId5" display="https://twitter.com/i/web/status/1152338518649245696"/>
    <hyperlink ref="A7" r:id="rId6" display="https://www.businesswire.com/news/home/20180830005135/en/Cradlepoint-Co-Sponsors-'Pathway-5G'-Panel-Mobile-World?es_p=9776008"/>
    <hyperlink ref="A8" r:id="rId7" display="https://pages.questexweb.com/FierceWireless-MWCA2019.html"/>
    <hyperlink ref="C2" r:id="rId8" display="http://www.pyvnts.com/oct-2019-pyvnts.html"/>
    <hyperlink ref="C3" r:id="rId9" display="http://www.pyvnts.com/"/>
    <hyperlink ref="C4" r:id="rId10" display="https://pages.questexweb.com/FierceWireless-MWCA2019.html"/>
    <hyperlink ref="C5" r:id="rId11" display="https://arstechnica.com/?p=1548369"/>
    <hyperlink ref="C6" r:id="rId12" display="https://arstechnica.com/?p=1539281"/>
    <hyperlink ref="C7" r:id="rId13" display="https://twitter.com/i/web/status/1152338518649245696"/>
    <hyperlink ref="E2" r:id="rId14" display="https://www.businesswire.com/news/home/20180830005135/en/Cradlepoint-Co-Sponsors-'Pathway-5G'-Panel-Mobile-World?es_p=9776008"/>
  </hyperlinks>
  <printOptions/>
  <pageMargins left="0.7" right="0.7" top="0.75" bottom="0.75" header="0.3" footer="0.3"/>
  <pageSetup orientation="portrait" paperSize="9"/>
  <tableParts>
    <tablePart r:id="rId15"/>
    <tablePart r:id="rId21"/>
    <tablePart r:id="rId17"/>
    <tablePart r:id="rId16"/>
    <tablePart r:id="rId19"/>
    <tablePart r:id="rId20"/>
    <tablePart r:id="rId18"/>
    <tablePart r:id="rId2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456</v>
      </c>
      <c r="B1" s="13" t="s">
        <v>462</v>
      </c>
      <c r="C1" s="13" t="s">
        <v>463</v>
      </c>
      <c r="D1" s="13" t="s">
        <v>144</v>
      </c>
      <c r="E1" s="13" t="s">
        <v>465</v>
      </c>
      <c r="F1" s="13" t="s">
        <v>466</v>
      </c>
      <c r="G1" s="13" t="s">
        <v>467</v>
      </c>
    </row>
    <row r="2" spans="1:7" ht="15">
      <c r="A2" s="85" t="s">
        <v>385</v>
      </c>
      <c r="B2" s="85">
        <v>2</v>
      </c>
      <c r="C2" s="129">
        <v>0.01834862385321101</v>
      </c>
      <c r="D2" s="85" t="s">
        <v>464</v>
      </c>
      <c r="E2" s="85"/>
      <c r="F2" s="85"/>
      <c r="G2" s="85"/>
    </row>
    <row r="3" spans="1:7" ht="15">
      <c r="A3" s="85" t="s">
        <v>386</v>
      </c>
      <c r="B3" s="85">
        <v>1</v>
      </c>
      <c r="C3" s="129">
        <v>0.009174311926605505</v>
      </c>
      <c r="D3" s="85" t="s">
        <v>464</v>
      </c>
      <c r="E3" s="85"/>
      <c r="F3" s="85"/>
      <c r="G3" s="85"/>
    </row>
    <row r="4" spans="1:7" ht="15">
      <c r="A4" s="85" t="s">
        <v>387</v>
      </c>
      <c r="B4" s="85">
        <v>0</v>
      </c>
      <c r="C4" s="129">
        <v>0</v>
      </c>
      <c r="D4" s="85" t="s">
        <v>464</v>
      </c>
      <c r="E4" s="85"/>
      <c r="F4" s="85"/>
      <c r="G4" s="85"/>
    </row>
    <row r="5" spans="1:7" ht="15">
      <c r="A5" s="85" t="s">
        <v>388</v>
      </c>
      <c r="B5" s="85">
        <v>106</v>
      </c>
      <c r="C5" s="129">
        <v>0.9724770642201835</v>
      </c>
      <c r="D5" s="85" t="s">
        <v>464</v>
      </c>
      <c r="E5" s="85"/>
      <c r="F5" s="85"/>
      <c r="G5" s="85"/>
    </row>
    <row r="6" spans="1:7" ht="15">
      <c r="A6" s="85" t="s">
        <v>389</v>
      </c>
      <c r="B6" s="85">
        <v>109</v>
      </c>
      <c r="C6" s="129">
        <v>1</v>
      </c>
      <c r="D6" s="85" t="s">
        <v>464</v>
      </c>
      <c r="E6" s="85"/>
      <c r="F6" s="85"/>
      <c r="G6" s="85"/>
    </row>
    <row r="7" spans="1:7" ht="15">
      <c r="A7" s="91" t="s">
        <v>390</v>
      </c>
      <c r="B7" s="91">
        <v>5</v>
      </c>
      <c r="C7" s="130">
        <v>0.02840007468569419</v>
      </c>
      <c r="D7" s="91" t="s">
        <v>464</v>
      </c>
      <c r="E7" s="91" t="b">
        <v>0</v>
      </c>
      <c r="F7" s="91" t="b">
        <v>0</v>
      </c>
      <c r="G7" s="91" t="b">
        <v>0</v>
      </c>
    </row>
    <row r="8" spans="1:7" ht="15">
      <c r="A8" s="91" t="s">
        <v>391</v>
      </c>
      <c r="B8" s="91">
        <v>5</v>
      </c>
      <c r="C8" s="130">
        <v>0.004713169407596715</v>
      </c>
      <c r="D8" s="91" t="s">
        <v>464</v>
      </c>
      <c r="E8" s="91" t="b">
        <v>0</v>
      </c>
      <c r="F8" s="91" t="b">
        <v>0</v>
      </c>
      <c r="G8" s="91" t="b">
        <v>0</v>
      </c>
    </row>
    <row r="9" spans="1:7" ht="15">
      <c r="A9" s="91" t="s">
        <v>392</v>
      </c>
      <c r="B9" s="91">
        <v>5</v>
      </c>
      <c r="C9" s="130">
        <v>0.004713169407596715</v>
      </c>
      <c r="D9" s="91" t="s">
        <v>464</v>
      </c>
      <c r="E9" s="91" t="b">
        <v>0</v>
      </c>
      <c r="F9" s="91" t="b">
        <v>0</v>
      </c>
      <c r="G9" s="91" t="b">
        <v>0</v>
      </c>
    </row>
    <row r="10" spans="1:7" ht="15">
      <c r="A10" s="91" t="s">
        <v>393</v>
      </c>
      <c r="B10" s="91">
        <v>5</v>
      </c>
      <c r="C10" s="130">
        <v>0.004713169407596715</v>
      </c>
      <c r="D10" s="91" t="s">
        <v>464</v>
      </c>
      <c r="E10" s="91" t="b">
        <v>0</v>
      </c>
      <c r="F10" s="91" t="b">
        <v>0</v>
      </c>
      <c r="G10" s="91" t="b">
        <v>0</v>
      </c>
    </row>
    <row r="11" spans="1:7" ht="15">
      <c r="A11" s="91" t="s">
        <v>394</v>
      </c>
      <c r="B11" s="91">
        <v>5</v>
      </c>
      <c r="C11" s="130">
        <v>0.004713169407596715</v>
      </c>
      <c r="D11" s="91" t="s">
        <v>464</v>
      </c>
      <c r="E11" s="91" t="b">
        <v>0</v>
      </c>
      <c r="F11" s="91" t="b">
        <v>0</v>
      </c>
      <c r="G11" s="91" t="b">
        <v>0</v>
      </c>
    </row>
    <row r="12" spans="1:7" ht="15">
      <c r="A12" s="91" t="s">
        <v>379</v>
      </c>
      <c r="B12" s="91">
        <v>4</v>
      </c>
      <c r="C12" s="130">
        <v>0.014334761698284819</v>
      </c>
      <c r="D12" s="91" t="s">
        <v>464</v>
      </c>
      <c r="E12" s="91" t="b">
        <v>0</v>
      </c>
      <c r="F12" s="91" t="b">
        <v>0</v>
      </c>
      <c r="G12" s="91" t="b">
        <v>0</v>
      </c>
    </row>
    <row r="13" spans="1:7" ht="15">
      <c r="A13" s="91" t="s">
        <v>396</v>
      </c>
      <c r="B13" s="91">
        <v>3</v>
      </c>
      <c r="C13" s="130">
        <v>0.010751071273713613</v>
      </c>
      <c r="D13" s="91" t="s">
        <v>464</v>
      </c>
      <c r="E13" s="91" t="b">
        <v>0</v>
      </c>
      <c r="F13" s="91" t="b">
        <v>0</v>
      </c>
      <c r="G13" s="91" t="b">
        <v>0</v>
      </c>
    </row>
    <row r="14" spans="1:7" ht="15">
      <c r="A14" s="91" t="s">
        <v>457</v>
      </c>
      <c r="B14" s="91">
        <v>2</v>
      </c>
      <c r="C14" s="130">
        <v>0.011360029874277677</v>
      </c>
      <c r="D14" s="91" t="s">
        <v>464</v>
      </c>
      <c r="E14" s="91" t="b">
        <v>0</v>
      </c>
      <c r="F14" s="91" t="b">
        <v>0</v>
      </c>
      <c r="G14" s="91" t="b">
        <v>0</v>
      </c>
    </row>
    <row r="15" spans="1:7" ht="15">
      <c r="A15" s="91" t="s">
        <v>458</v>
      </c>
      <c r="B15" s="91">
        <v>2</v>
      </c>
      <c r="C15" s="130">
        <v>0.018527410723420085</v>
      </c>
      <c r="D15" s="91" t="s">
        <v>464</v>
      </c>
      <c r="E15" s="91" t="b">
        <v>0</v>
      </c>
      <c r="F15" s="91" t="b">
        <v>0</v>
      </c>
      <c r="G15" s="91" t="b">
        <v>0</v>
      </c>
    </row>
    <row r="16" spans="1:7" ht="15">
      <c r="A16" s="91" t="s">
        <v>459</v>
      </c>
      <c r="B16" s="91">
        <v>2</v>
      </c>
      <c r="C16" s="130">
        <v>0.011360029874277677</v>
      </c>
      <c r="D16" s="91" t="s">
        <v>464</v>
      </c>
      <c r="E16" s="91" t="b">
        <v>0</v>
      </c>
      <c r="F16" s="91" t="b">
        <v>0</v>
      </c>
      <c r="G16" s="91" t="b">
        <v>0</v>
      </c>
    </row>
    <row r="17" spans="1:7" ht="15">
      <c r="A17" s="91" t="s">
        <v>397</v>
      </c>
      <c r="B17" s="91">
        <v>2</v>
      </c>
      <c r="C17" s="130">
        <v>0.011360029874277677</v>
      </c>
      <c r="D17" s="91" t="s">
        <v>464</v>
      </c>
      <c r="E17" s="91" t="b">
        <v>0</v>
      </c>
      <c r="F17" s="91" t="b">
        <v>0</v>
      </c>
      <c r="G17" s="91" t="b">
        <v>0</v>
      </c>
    </row>
    <row r="18" spans="1:7" ht="15">
      <c r="A18" s="91" t="s">
        <v>398</v>
      </c>
      <c r="B18" s="91">
        <v>2</v>
      </c>
      <c r="C18" s="130">
        <v>0.011360029874277677</v>
      </c>
      <c r="D18" s="91" t="s">
        <v>464</v>
      </c>
      <c r="E18" s="91" t="b">
        <v>0</v>
      </c>
      <c r="F18" s="91" t="b">
        <v>0</v>
      </c>
      <c r="G18" s="91" t="b">
        <v>0</v>
      </c>
    </row>
    <row r="19" spans="1:7" ht="15">
      <c r="A19" s="91" t="s">
        <v>399</v>
      </c>
      <c r="B19" s="91">
        <v>2</v>
      </c>
      <c r="C19" s="130">
        <v>0.011360029874277677</v>
      </c>
      <c r="D19" s="91" t="s">
        <v>464</v>
      </c>
      <c r="E19" s="91" t="b">
        <v>0</v>
      </c>
      <c r="F19" s="91" t="b">
        <v>0</v>
      </c>
      <c r="G19" s="91" t="b">
        <v>0</v>
      </c>
    </row>
    <row r="20" spans="1:7" ht="15">
      <c r="A20" s="91" t="s">
        <v>460</v>
      </c>
      <c r="B20" s="91">
        <v>2</v>
      </c>
      <c r="C20" s="130">
        <v>0.011360029874277677</v>
      </c>
      <c r="D20" s="91" t="s">
        <v>464</v>
      </c>
      <c r="E20" s="91" t="b">
        <v>0</v>
      </c>
      <c r="F20" s="91" t="b">
        <v>0</v>
      </c>
      <c r="G20" s="91" t="b">
        <v>0</v>
      </c>
    </row>
    <row r="21" spans="1:7" ht="15">
      <c r="A21" s="91" t="s">
        <v>461</v>
      </c>
      <c r="B21" s="91">
        <v>2</v>
      </c>
      <c r="C21" s="130">
        <v>0.011360029874277677</v>
      </c>
      <c r="D21" s="91" t="s">
        <v>464</v>
      </c>
      <c r="E21" s="91" t="b">
        <v>0</v>
      </c>
      <c r="F21" s="91" t="b">
        <v>0</v>
      </c>
      <c r="G21" s="91" t="b">
        <v>0</v>
      </c>
    </row>
    <row r="22" spans="1:7" ht="15">
      <c r="A22" s="91" t="s">
        <v>390</v>
      </c>
      <c r="B22" s="91">
        <v>5</v>
      </c>
      <c r="C22" s="130">
        <v>0.02725616497753682</v>
      </c>
      <c r="D22" s="91" t="s">
        <v>351</v>
      </c>
      <c r="E22" s="91" t="b">
        <v>0</v>
      </c>
      <c r="F22" s="91" t="b">
        <v>0</v>
      </c>
      <c r="G22" s="91" t="b">
        <v>0</v>
      </c>
    </row>
    <row r="23" spans="1:7" ht="15">
      <c r="A23" s="91" t="s">
        <v>379</v>
      </c>
      <c r="B23" s="91">
        <v>4</v>
      </c>
      <c r="C23" s="130">
        <v>0.01215609586938939</v>
      </c>
      <c r="D23" s="91" t="s">
        <v>351</v>
      </c>
      <c r="E23" s="91" t="b">
        <v>0</v>
      </c>
      <c r="F23" s="91" t="b">
        <v>0</v>
      </c>
      <c r="G23" s="91" t="b">
        <v>0</v>
      </c>
    </row>
    <row r="24" spans="1:7" ht="15">
      <c r="A24" s="91" t="s">
        <v>391</v>
      </c>
      <c r="B24" s="91">
        <v>4</v>
      </c>
      <c r="C24" s="130">
        <v>0.005310137699071584</v>
      </c>
      <c r="D24" s="91" t="s">
        <v>351</v>
      </c>
      <c r="E24" s="91" t="b">
        <v>0</v>
      </c>
      <c r="F24" s="91" t="b">
        <v>0</v>
      </c>
      <c r="G24" s="91" t="b">
        <v>0</v>
      </c>
    </row>
    <row r="25" spans="1:7" ht="15">
      <c r="A25" s="91" t="s">
        <v>392</v>
      </c>
      <c r="B25" s="91">
        <v>4</v>
      </c>
      <c r="C25" s="130">
        <v>0.005310137699071584</v>
      </c>
      <c r="D25" s="91" t="s">
        <v>351</v>
      </c>
      <c r="E25" s="91" t="b">
        <v>0</v>
      </c>
      <c r="F25" s="91" t="b">
        <v>0</v>
      </c>
      <c r="G25" s="91" t="b">
        <v>0</v>
      </c>
    </row>
    <row r="26" spans="1:7" ht="15">
      <c r="A26" s="91" t="s">
        <v>393</v>
      </c>
      <c r="B26" s="91">
        <v>4</v>
      </c>
      <c r="C26" s="130">
        <v>0.005310137699071584</v>
      </c>
      <c r="D26" s="91" t="s">
        <v>351</v>
      </c>
      <c r="E26" s="91" t="b">
        <v>0</v>
      </c>
      <c r="F26" s="91" t="b">
        <v>0</v>
      </c>
      <c r="G26" s="91" t="b">
        <v>0</v>
      </c>
    </row>
    <row r="27" spans="1:7" ht="15">
      <c r="A27" s="91" t="s">
        <v>394</v>
      </c>
      <c r="B27" s="91">
        <v>4</v>
      </c>
      <c r="C27" s="130">
        <v>0.005310137699071584</v>
      </c>
      <c r="D27" s="91" t="s">
        <v>351</v>
      </c>
      <c r="E27" s="91" t="b">
        <v>0</v>
      </c>
      <c r="F27" s="91" t="b">
        <v>0</v>
      </c>
      <c r="G27" s="91" t="b">
        <v>0</v>
      </c>
    </row>
    <row r="28" spans="1:7" ht="15">
      <c r="A28" s="91" t="s">
        <v>396</v>
      </c>
      <c r="B28" s="91">
        <v>3</v>
      </c>
      <c r="C28" s="130">
        <v>0.009117071902042043</v>
      </c>
      <c r="D28" s="91" t="s">
        <v>351</v>
      </c>
      <c r="E28" s="91" t="b">
        <v>0</v>
      </c>
      <c r="F28" s="91" t="b">
        <v>0</v>
      </c>
      <c r="G28" s="91" t="b">
        <v>0</v>
      </c>
    </row>
    <row r="29" spans="1:7" ht="15">
      <c r="A29" s="91" t="s">
        <v>397</v>
      </c>
      <c r="B29" s="91">
        <v>2</v>
      </c>
      <c r="C29" s="130">
        <v>0.010902465991014729</v>
      </c>
      <c r="D29" s="91" t="s">
        <v>351</v>
      </c>
      <c r="E29" s="91" t="b">
        <v>0</v>
      </c>
      <c r="F29" s="91" t="b">
        <v>0</v>
      </c>
      <c r="G29" s="91" t="b">
        <v>0</v>
      </c>
    </row>
    <row r="30" spans="1:7" ht="15">
      <c r="A30" s="91" t="s">
        <v>398</v>
      </c>
      <c r="B30" s="91">
        <v>2</v>
      </c>
      <c r="C30" s="130">
        <v>0.010902465991014729</v>
      </c>
      <c r="D30" s="91" t="s">
        <v>351</v>
      </c>
      <c r="E30" s="91" t="b">
        <v>0</v>
      </c>
      <c r="F30" s="91" t="b">
        <v>0</v>
      </c>
      <c r="G30" s="91" t="b">
        <v>0</v>
      </c>
    </row>
    <row r="31" spans="1:7" ht="15">
      <c r="A31" s="91" t="s">
        <v>399</v>
      </c>
      <c r="B31" s="91">
        <v>2</v>
      </c>
      <c r="C31" s="130">
        <v>0.010902465991014729</v>
      </c>
      <c r="D31" s="91" t="s">
        <v>351</v>
      </c>
      <c r="E31" s="91" t="b">
        <v>0</v>
      </c>
      <c r="F31" s="91" t="b">
        <v>0</v>
      </c>
      <c r="G31" s="91" t="b">
        <v>0</v>
      </c>
    </row>
    <row r="32" spans="1:7" ht="15">
      <c r="A32" s="91" t="s">
        <v>460</v>
      </c>
      <c r="B32" s="91">
        <v>2</v>
      </c>
      <c r="C32" s="130">
        <v>0.010902465991014729</v>
      </c>
      <c r="D32" s="91" t="s">
        <v>351</v>
      </c>
      <c r="E32" s="91" t="b">
        <v>0</v>
      </c>
      <c r="F32" s="91" t="b">
        <v>0</v>
      </c>
      <c r="G32" s="91" t="b">
        <v>0</v>
      </c>
    </row>
    <row r="33" spans="1:7" ht="15">
      <c r="A33" s="91" t="s">
        <v>461</v>
      </c>
      <c r="B33" s="91">
        <v>2</v>
      </c>
      <c r="C33" s="130">
        <v>0.010902465991014729</v>
      </c>
      <c r="D33" s="91" t="s">
        <v>351</v>
      </c>
      <c r="E33" s="91" t="b">
        <v>0</v>
      </c>
      <c r="F33" s="91" t="b">
        <v>0</v>
      </c>
      <c r="G33" s="91" t="b">
        <v>0</v>
      </c>
    </row>
    <row r="34" spans="1:7" ht="15">
      <c r="A34" s="91" t="s">
        <v>457</v>
      </c>
      <c r="B34" s="91">
        <v>2</v>
      </c>
      <c r="C34" s="130">
        <v>0.010902465991014729</v>
      </c>
      <c r="D34" s="91" t="s">
        <v>351</v>
      </c>
      <c r="E34" s="91" t="b">
        <v>0</v>
      </c>
      <c r="F34" s="91" t="b">
        <v>0</v>
      </c>
      <c r="G34" s="91" t="b">
        <v>0</v>
      </c>
    </row>
    <row r="35" spans="1:7" ht="15">
      <c r="A35" s="91" t="s">
        <v>458</v>
      </c>
      <c r="B35" s="91">
        <v>2</v>
      </c>
      <c r="C35" s="130">
        <v>0.019149863132493665</v>
      </c>
      <c r="D35" s="91" t="s">
        <v>351</v>
      </c>
      <c r="E35" s="91" t="b">
        <v>0</v>
      </c>
      <c r="F35" s="91" t="b">
        <v>0</v>
      </c>
      <c r="G35" s="91" t="b">
        <v>0</v>
      </c>
    </row>
    <row r="36" spans="1:7" ht="15">
      <c r="A36" s="91" t="s">
        <v>459</v>
      </c>
      <c r="B36" s="91">
        <v>2</v>
      </c>
      <c r="C36" s="130">
        <v>0.010902465991014729</v>
      </c>
      <c r="D36" s="91" t="s">
        <v>351</v>
      </c>
      <c r="E36" s="91" t="b">
        <v>0</v>
      </c>
      <c r="F36" s="91" t="b">
        <v>0</v>
      </c>
      <c r="G3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2019-08-16T22:29:58Z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