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<sst xmlns="http://schemas.openxmlformats.org/spreadsheetml/2006/main" count="388" uniqueCount="246">
  <si>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</si>
  <si>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</si>
  <si>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</si>
  <si>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</si>
  <si>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</si>
  <si>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</si>
  <si>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</si>
  <si>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</si>
  <si>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</si>
  <si>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</si>
  <si>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</si>
  <si>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</si>
  <si>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</si>
  <si>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</si>
  <si>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</si>
  <si>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</si>
  <si>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</si>
  <si>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</si>
  <si>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</si>
  <si>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</si>
  <si>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</si>
  <si>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</si>
  <si>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</si>
  <si>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</si>
  <si>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</si>
  <si>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</si>
  <si>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</si>
  <si>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</si>
  <si>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</si>
  <si>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</si>
  <si>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</si>
  <si>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</si>
  <si>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</si>
  <si>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</si>
  <si>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</si>
  <si>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</si>
  <si>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</si>
  <si>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</si>
  <si>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</si>
  <si>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</si>
  <si>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</si>
  <si>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</si>
  <si>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</si>
  <si>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</si>
  <si>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</si>
  <si>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</si>
  <si>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</si>
  <si>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</si>
  <si>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</si>
  <si>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</si>
  <si>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</si>
  <si>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</si>
  <si>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</si>
  <si>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</si>
  <si>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</si>
  <si>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</si>
  <si>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</si>
  <si>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</si>
  <si>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</si>
  <si>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</si>
  <si>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</si>
  <si>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</si>
  <si>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</si>
  <si>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</si>
  <si>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</si>
  <si>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</si>
  <si>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</si>
  <si>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</si>
  <si>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</si>
  <si>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</si>
  <si>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</si>
  <si>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</si>
  <si>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</si>
  <si>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</si>
  <si>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</si>
  <si>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</si>
  <si>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</si>
  <si>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</si>
  <si>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</si>
  <si>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</si>
  <si>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</si>
  <si>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</si>
  <si>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</si>
  <si>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</si>
  <si>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</si>
  <si>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</si>
  <si>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</si>
  <si>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</si>
  <si>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</si>
  <si>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</si>
  <si>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</si>
  <si>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</si>
  <si>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</si>
  <si>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</si>
  <si>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</si>
  <si>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</si>
  <si>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</si>
  <si>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</si>
  <si>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</si>
  <si>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</si>
  <si>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</si>
  <si>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</si>
  <si>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</si>
  <si>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</si>
  <si>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</si>
  <si>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</si>
  <si>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</si>
  <si>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</si>
  <si>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</si>
  <si>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</si>
  <si>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</si>
  <si>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</si>
  <si>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</si>
  <si>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</si>
  <si>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</si>
  <si>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</si>
  <si>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</si>
  <si>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</si>
  <si>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</si>
  <si>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</si>
  <si>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</si>
  <si>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</si>
  <si>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</si>
  <si>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</si>
  <si>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</si>
  <si>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</si>
  <si>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</si>
  <si>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</si>
  <si>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</si>
  <si>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</si>
  <si>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</si>
  <si>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</si>
  <si>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</si>
  <si>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</si>
  <si>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</si>
  <si>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</si>
  <si>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</si>
  <si>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</si>
  <si>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</si>
  <si>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</si>
  <si>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</si>
  <si>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</si>
  <si>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</si>
  <si>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</si>
  <si>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</si>
  <si>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</si>
  <si>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</si>
  <si>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</si>
  <si>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</si>
  <si>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</si>
  <si>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</si>
  <si>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</si>
  <si>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</si>
  <si>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</si>
  <si>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</si>
  <si>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</si>
  <si>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</si>
  <si>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</si>
  <si>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</si>
  <si>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</si>
  <si>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</si>
  <si>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</si>
  <si>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</si>
  <si>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</si>
  <si>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</si>
  <si>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</si>
  <si>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</si>
  <si>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</si>
  <si>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</si>
  <si>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</si>
  <si>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</si>
  <si>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</si>
  <si>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</si>
  <si>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</si>
  <si>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</si>
  <si>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Aimee</t>
  </si>
  <si>
    <t>Lizzy</t>
  </si>
  <si>
    <t>Lorenzo</t>
  </si>
  <si>
    <t>Kenneth</t>
  </si>
  <si>
    <t>Ashley</t>
  </si>
  <si>
    <t>Karim</t>
  </si>
  <si>
    <t>Graph History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</si>
  <si>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</si>
  <si>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</si>
  <si>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</si>
  <si>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</si>
  <si>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</si>
  <si>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</si>
  <si>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</si>
  <si>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</si>
  <si>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</si>
  <si>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</si>
  <si>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</si>
  <si>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</si>
  <si>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</si>
  <si>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</si>
  <si>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</si>
  <si>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</si>
  <si>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</si>
  <si>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</si>
  <si>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</si>
  <si>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</si>
  <si>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</si>
  <si>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</si>
  <si>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</si>
  <si>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</si>
  <si>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</si>
  <si>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</si>
  <si>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</si>
  <si>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</si>
  <si>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</si>
  <si>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</si>
  <si>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</si>
  <si>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</si>
  <si>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</si>
  <si>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Graph Type</t>
  </si>
  <si>
    <t>Modularity</t>
  </si>
  <si>
    <t>NodeXL Version</t>
  </si>
  <si>
    <t>Not Applicable</t>
  </si>
  <si>
    <t>1.0.1.415</t>
  </si>
  <si>
    <t>Key</t>
  </si>
  <si>
    <t>Action Label</t>
  </si>
  <si>
    <t>Action URL</t>
  </si>
  <si>
    <t>Brand Logo</t>
  </si>
  <si>
    <t>Brand URL</t>
  </si>
  <si>
    <t>Hashtag</t>
  </si>
  <si>
    <t>URL</t>
  </si>
  <si>
    <t>G1</t>
  </si>
  <si>
    <t>0, 12, 96</t>
  </si>
  <si>
    <t>Vertex Group</t>
  </si>
  <si>
    <t>Vertex 1 Group</t>
  </si>
  <si>
    <t>Vertex 2 Group</t>
  </si>
  <si>
    <t>Autofill Workbook Results</t>
  </si>
  <si>
    <t>4</t>
  </si>
  <si>
    <t>5</t>
  </si>
  <si>
    <t>▓0▓0▓0▓True▓Black▓Black▓▓▓0▓0▓0▓0▓0▓False▓▓0▓0▓0▓0▓0▓False▓▓0▓0▓0▓True▓Black▓Black▓▓Eigenvector Centrality▓0.15693▓0.186141▓3▓4▓10▓True▓Closeness Centrality▓0.166667▓0.2▓3▓50▓100▓True▓▓0▓0▓0▓0▓0▓False▓▓0▓0▓0▓0▓0▓False</t>
  </si>
  <si>
    <t>Workbook Settings 2</t>
  </si>
  <si>
    <t>Workbook Settings 3</t>
  </si>
  <si>
    <t>Aimee's Best Friends</t>
  </si>
  <si>
    <t>G2</t>
  </si>
  <si>
    <t>0, 136, 227</t>
  </si>
  <si>
    <t>LayoutAlgorithm░The graph was laid out using the Fruchterman-Reingold layout algorithm.▓GraphDirectedness░The graph is undirected.▓GroupingDescription░The graph's vertices were grouped by cluster using the Wakita-Tsurumi cluster algorithm.</t>
  </si>
  <si>
    <t>Aimee's Party Friends</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</si>
  <si>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&lt;value&gt;aimeele&lt;/value&gt;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&lt;GeneralUserSettings4&gt;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TopRight 2147483647 2147483647 Black True 200 Black 86 BottomLeft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t>
  </si>
  <si>
    <t xml:space="preserve">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 /&gt;
      &lt;/setting&gt;
      &lt;setting name="VertexColorSourceColumnName" serializeAs="String"&gt;
        &lt;value /&gt;
      &lt;/setting&gt;
      &lt;setting name="VertexRadiusSourceColumnName" serializeAs="String"&gt;
        &lt;value&gt;Eigenvector Centrality&lt;/value&gt;
      &lt;/setting&gt;
      &lt;setting name="VertexRadiusDetails" serializeAs="String"&gt;
        &lt;value&gt;False False 0 0 4 10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&lt;value&gt;Closeness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&lt;value&gt;Degree&lt;/value&gt;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50 100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name="GroupLabelDetails" serializeAs="String"&gt;
        &lt;value&gt;False&lt;/value&gt;
      &lt;/setting&gt;
      &lt;setting name="VertexXSourceColumnName" serializeAs="String"&gt;
        &lt;value /&gt;
      &lt;/se</t>
  </si>
  <si>
    <t>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</si>
</sst>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4" borderId="11" xfId="24"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49" fontId="0" fillId="0" borderId="0" xfId="22" applyNumberFormat="1" applyFont="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0" fontId="0" fillId="0" borderId="0" xfId="0" applyFill="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6">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7"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9" formatCode="@"/>
    </dxf>
    <dxf>
      <numFmt numFmtId="179"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7" formatCode="General"/>
    </dxf>
    <dxf>
      <font>
        <b val="0"/>
        <i val="0"/>
        <u val="none"/>
        <strike val="0"/>
        <sz val="11"/>
        <name val="Calibri"/>
        <color theme="1"/>
        <condense val="0"/>
        <extend val="0"/>
      </font>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78"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5"/>
      <tableStyleElement type="headerRow" dxfId="154"/>
    </tableStyle>
    <tableStyle name="NodeXL Table" pivot="0" count="1">
      <tableStyleElement type="headerRow" dxfId="1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908903"/>
        <c:axId val="31853536"/>
      </c:barChart>
      <c:catAx>
        <c:axId val="25908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53536"/>
        <c:crosses val="autoZero"/>
        <c:auto val="1"/>
        <c:lblOffset val="100"/>
        <c:noMultiLvlLbl val="0"/>
      </c:catAx>
      <c:valAx>
        <c:axId val="31853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8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246369"/>
        <c:axId val="29999594"/>
      </c:barChart>
      <c:catAx>
        <c:axId val="18246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999594"/>
        <c:crosses val="autoZero"/>
        <c:auto val="1"/>
        <c:lblOffset val="100"/>
        <c:noMultiLvlLbl val="0"/>
      </c:catAx>
      <c:valAx>
        <c:axId val="2999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6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60891"/>
        <c:axId val="14048020"/>
      </c:barChart>
      <c:catAx>
        <c:axId val="15608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48020"/>
        <c:crosses val="autoZero"/>
        <c:auto val="1"/>
        <c:lblOffset val="100"/>
        <c:noMultiLvlLbl val="0"/>
      </c:catAx>
      <c:valAx>
        <c:axId val="14048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323317"/>
        <c:axId val="64147806"/>
      </c:barChart>
      <c:catAx>
        <c:axId val="59323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47806"/>
        <c:crosses val="autoZero"/>
        <c:auto val="1"/>
        <c:lblOffset val="100"/>
        <c:noMultiLvlLbl val="0"/>
      </c:catAx>
      <c:valAx>
        <c:axId val="641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3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459343"/>
        <c:axId val="28589768"/>
      </c:barChart>
      <c:catAx>
        <c:axId val="404593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89768"/>
        <c:crosses val="autoZero"/>
        <c:auto val="1"/>
        <c:lblOffset val="100"/>
        <c:noMultiLvlLbl val="0"/>
      </c:catAx>
      <c:valAx>
        <c:axId val="28589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9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981321"/>
        <c:axId val="34069842"/>
      </c:barChart>
      <c:catAx>
        <c:axId val="55981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69842"/>
        <c:crosses val="autoZero"/>
        <c:auto val="1"/>
        <c:lblOffset val="100"/>
        <c:noMultiLvlLbl val="0"/>
      </c:catAx>
      <c:valAx>
        <c:axId val="34069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1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193123"/>
        <c:axId val="8193788"/>
      </c:barChart>
      <c:catAx>
        <c:axId val="381931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93788"/>
        <c:crosses val="autoZero"/>
        <c:auto val="1"/>
        <c:lblOffset val="100"/>
        <c:noMultiLvlLbl val="0"/>
      </c:catAx>
      <c:valAx>
        <c:axId val="819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35229"/>
        <c:axId val="59717062"/>
      </c:barChart>
      <c:catAx>
        <c:axId val="66352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17062"/>
        <c:crosses val="autoZero"/>
        <c:auto val="1"/>
        <c:lblOffset val="100"/>
        <c:noMultiLvlLbl val="0"/>
      </c:catAx>
      <c:valAx>
        <c:axId val="597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2647"/>
        <c:axId val="5243824"/>
      </c:barChart>
      <c:catAx>
        <c:axId val="582647"/>
        <c:scaling>
          <c:orientation val="minMax"/>
        </c:scaling>
        <c:axPos val="b"/>
        <c:delete val="1"/>
        <c:majorTickMark val="out"/>
        <c:minorTickMark val="none"/>
        <c:tickLblPos val="none"/>
        <c:crossAx val="5243824"/>
        <c:crosses val="autoZero"/>
        <c:auto val="1"/>
        <c:lblOffset val="100"/>
        <c:noMultiLvlLbl val="0"/>
      </c:catAx>
      <c:valAx>
        <c:axId val="5243824"/>
        <c:scaling>
          <c:orientation val="minMax"/>
        </c:scaling>
        <c:axPos val="l"/>
        <c:delete val="1"/>
        <c:majorTickMark val="out"/>
        <c:minorTickMark val="none"/>
        <c:tickLblPos val="none"/>
        <c:crossAx val="5826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16" totalsRowShown="0" headerRowDxfId="152" dataDxfId="151">
  <autoFilter ref="A2:P16"/>
  <tableColumns count="16">
    <tableColumn id="1" name="Vertex 1" dataDxfId="150"/>
    <tableColumn id="2" name="Vertex 2" dataDxfId="149"/>
    <tableColumn id="3" name="Color" dataDxfId="148"/>
    <tableColumn id="4" name="Width" dataDxfId="147"/>
    <tableColumn id="11" name="Style" dataDxfId="146"/>
    <tableColumn id="5" name="Opacity" dataDxfId="145"/>
    <tableColumn id="6" name="Visibility" dataDxfId="144"/>
    <tableColumn id="10" name="Label" dataDxfId="143"/>
    <tableColumn id="12" name="Label Text Color" dataDxfId="142"/>
    <tableColumn id="13" name="Label Font Size" dataDxfId="141"/>
    <tableColumn id="14" name="Reciprocated?" dataDxfId="140"/>
    <tableColumn id="7" name="ID" dataDxfId="139"/>
    <tableColumn id="9" name="Dynamic Filter" dataDxfId="138"/>
    <tableColumn id="8" name="Add Your Own Columns Here" dataDxfId="2"/>
    <tableColumn id="15" name="Vertex 1 Group" dataDxfId="1">
      <calculatedColumnFormula>REPLACE(INDEX(GroupVertices[Group], MATCH(Edges[[#This Row],[Vertex 1]],GroupVertices[Vertex],0)),1,1,"")</calculatedColumnFormula>
    </tableColumn>
    <tableColumn id="16" name="Vertex 2 Group" dataDxfId="0">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78" dataDxfId="77">
  <autoFilter ref="A1:B2"/>
  <tableColumns count="2">
    <tableColumn id="1" name="Top URLs in Tweet in Entire Graph" dataDxfId="76"/>
    <tableColumn id="2" name="Entire Graph Count" dataDxfId="7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73" dataDxfId="72">
  <autoFilter ref="A4:B5"/>
  <tableColumns count="2">
    <tableColumn id="1" name="Top Domains in Tweet in Entire Graph" dataDxfId="71"/>
    <tableColumn id="2" name="Entire Graph Count" dataDxfId="7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68" dataDxfId="67">
  <autoFilter ref="A7:B8"/>
  <tableColumns count="2">
    <tableColumn id="1" name="Top Hashtags in Tweet in Entire Graph" dataDxfId="66"/>
    <tableColumn id="2" name="Entire Graph Count" dataDxfId="65"/>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63" dataDxfId="62">
  <autoFilter ref="A10:B15"/>
  <tableColumns count="2">
    <tableColumn id="1" name="Top Words in Tweet in Entire Graph" dataDxfId="61"/>
    <tableColumn id="2" name="Entire Graph Count" dataDxfId="6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58" dataDxfId="57">
  <autoFilter ref="A18:B19"/>
  <tableColumns count="2">
    <tableColumn id="1" name="Top Word Pairs in Tweet in Entire Graph" dataDxfId="56"/>
    <tableColumn id="2" name="Entire Graph Count" dataDxfId="5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53" dataDxfId="52">
  <autoFilter ref="A21:B22"/>
  <tableColumns count="2">
    <tableColumn id="1" name="Top Replied-To in Entire Graph" dataDxfId="51"/>
    <tableColumn id="2" name="Entire Graph Count" dataDxfId="5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49" dataDxfId="48">
  <autoFilter ref="A24:B25"/>
  <tableColumns count="2">
    <tableColumn id="1" name="Top Mentioned in Entire Graph" dataDxfId="47"/>
    <tableColumn id="2" name="Entire Graph Count" dataDxfId="4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43" dataDxfId="42">
  <autoFilter ref="A27:B28"/>
  <tableColumns count="2">
    <tableColumn id="1" name="Top Tweeters in Entire Graph" dataDxfId="41"/>
    <tableColumn id="2" name="Entire Graph Count" dataDxfId="40"/>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25" dataDxfId="24">
  <autoFilter ref="A1:B7"/>
  <tableColumns count="2">
    <tableColumn id="1" name="Key" dataDxfId="23"/>
    <tableColumn id="2" name="Value" dataDxfId="2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8" totalsRowShown="0" headerRowDxfId="137" dataDxfId="136">
  <autoFilter ref="A2:AN8"/>
  <tableColumns count="40">
    <tableColumn id="1" name="Vertex" dataDxfId="135"/>
    <tableColumn id="2" name="Color" dataDxfId="134"/>
    <tableColumn id="5" name="Shape" dataDxfId="133"/>
    <tableColumn id="6" name="Size" dataDxfId="132"/>
    <tableColumn id="4" name="Opacity" dataDxfId="131"/>
    <tableColumn id="7" name="Image File" dataDxfId="130"/>
    <tableColumn id="3" name="Visibility" dataDxfId="129"/>
    <tableColumn id="10" name="Label" dataDxfId="128"/>
    <tableColumn id="16" name="Label Fill Color" dataDxfId="127"/>
    <tableColumn id="9" name="Label Position" dataDxfId="126"/>
    <tableColumn id="8" name="Tooltip" dataDxfId="125"/>
    <tableColumn id="18" name="Layout Order" dataDxfId="124"/>
    <tableColumn id="13" name="X" dataDxfId="123"/>
    <tableColumn id="14" name="Y" dataDxfId="122"/>
    <tableColumn id="12" name="Locked?" dataDxfId="121"/>
    <tableColumn id="19" name="Polar R" dataDxfId="120"/>
    <tableColumn id="20" name="Polar Angle" dataDxfId="17"/>
    <tableColumn id="21" name="Degree" dataDxfId="15"/>
    <tableColumn id="22" name="In-Degree" dataDxfId="16"/>
    <tableColumn id="23" name="Out-Degree" dataDxfId="21"/>
    <tableColumn id="24" name="Betweenness Centrality" dataDxfId="20"/>
    <tableColumn id="25" name="Closeness Centrality" dataDxfId="19"/>
    <tableColumn id="26" name="Eigenvector Centrality" dataDxfId="18"/>
    <tableColumn id="15" name="PageRank" dataDxfId="14"/>
    <tableColumn id="27" name="Clustering Coefficient" dataDxfId="12"/>
    <tableColumn id="29" name="Reciprocated Vertex Pair Ratio" dataDxfId="13"/>
    <tableColumn id="11" name="ID" dataDxfId="119"/>
    <tableColumn id="28" name="Dynamic Filter" dataDxfId="118"/>
    <tableColumn id="17" name="Add Your Own Columns Here" dataDxfId="37"/>
    <tableColumn id="30" name="Top URLs in Tweet by Count" dataDxfId="36"/>
    <tableColumn id="31" name="Top URLs in Tweet by Salience" dataDxfId="35"/>
    <tableColumn id="32" name="Top Domains in Tweet by Count" dataDxfId="34"/>
    <tableColumn id="33" name="Top Domains in Tweet by Salience" dataDxfId="33"/>
    <tableColumn id="34" name="Top Hashtags in Tweet by Count" dataDxfId="32"/>
    <tableColumn id="35" name="Top Hashtags in Tweet by Salience" dataDxfId="31"/>
    <tableColumn id="36" name="Top Words in Tweet by Count" dataDxfId="30"/>
    <tableColumn id="37" name="Top Words in Tweet by Salience" dataDxfId="29"/>
    <tableColumn id="38" name="Top Word Pairs in Tweet by Count" dataDxfId="28"/>
    <tableColumn id="39" name="Top Word Pairs in Tweet by Salience" dataDxfId="4"/>
    <tableColumn id="40" name="Vertex Group" dataDxfId="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4" totalsRowShown="0" headerRowDxfId="117">
  <autoFilter ref="A2:AF4"/>
  <tableColumns count="32">
    <tableColumn id="1" name="Group" dataDxfId="11"/>
    <tableColumn id="2" name="Vertex Color" dataDxfId="10"/>
    <tableColumn id="3" name="Vertex Shape" dataDxfId="8"/>
    <tableColumn id="22" name="Visibility" dataDxfId="9"/>
    <tableColumn id="4" name="Collapsed?"/>
    <tableColumn id="18" name="Label" dataDxfId="116"/>
    <tableColumn id="20" name="Collapsed X"/>
    <tableColumn id="21" name="Collapsed Y"/>
    <tableColumn id="6" name="ID" dataDxfId="115"/>
    <tableColumn id="19" name="Collapsed Properties" dataDxfId="114"/>
    <tableColumn id="5" name="Vertices" dataDxfId="113"/>
    <tableColumn id="7" name="Unique Edges" dataDxfId="112"/>
    <tableColumn id="8" name="Edges With Duplicates" dataDxfId="111"/>
    <tableColumn id="9" name="Total Edges" dataDxfId="110"/>
    <tableColumn id="10" name="Self-Loops" dataDxfId="109"/>
    <tableColumn id="24" name="Reciprocated Vertex Pair Ratio" dataDxfId="108"/>
    <tableColumn id="25" name="Reciprocated Edge Ratio" dataDxfId="107"/>
    <tableColumn id="11" name="Connected Components" dataDxfId="106"/>
    <tableColumn id="12" name="Single-Vertex Connected Components" dataDxfId="105"/>
    <tableColumn id="13" name="Maximum Vertices in a Connected Component" dataDxfId="104"/>
    <tableColumn id="14" name="Maximum Edges in a Connected Component" dataDxfId="103"/>
    <tableColumn id="15" name="Maximum Geodesic Distance (Diameter)" dataDxfId="102"/>
    <tableColumn id="16" name="Average Geodesic Distance" dataDxfId="101"/>
    <tableColumn id="17" name="Graph Density" dataDxfId="74"/>
    <tableColumn id="23" name="Top URLs in Tweet" dataDxfId="69"/>
    <tableColumn id="26" name="Top Domains in Tweet" dataDxfId="64"/>
    <tableColumn id="27" name="Top Hashtags in Tweet" dataDxfId="59"/>
    <tableColumn id="28" name="Top Words in Tweet" dataDxfId="54"/>
    <tableColumn id="29" name="Top Word Pairs in Tweet" dataDxfId="45"/>
    <tableColumn id="30" name="Top Replied-To in Tweet" dataDxfId="44"/>
    <tableColumn id="31" name="Top Mentioned in Tweet" dataDxfId="39"/>
    <tableColumn id="32" name="Top Tweeters" dataDxfId="3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100" dataDxfId="99">
  <autoFilter ref="A1:C7"/>
  <tableColumns count="3">
    <tableColumn id="1" name="Group" dataDxfId="7"/>
    <tableColumn id="2" name="Vertex" dataDxfId="6"/>
    <tableColumn id="3" name="Vertex ID" dataDxfId="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
    <tableColumn id="2" name="Value" dataDxfId="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98"/>
    <tableColumn id="2" name="Degree Frequency" dataDxfId="97">
      <calculatedColumnFormula>COUNTIF(Vertices[Degree], "&gt;= " &amp; D2) - COUNTIF(Vertices[Degree], "&gt;=" &amp; D3)</calculatedColumnFormula>
    </tableColumn>
    <tableColumn id="3" name="In-Degree Bin" dataDxfId="96"/>
    <tableColumn id="4" name="In-Degree Frequency" dataDxfId="95">
      <calculatedColumnFormula>COUNTIF(Vertices[In-Degree], "&gt;= " &amp; F2) - COUNTIF(Vertices[In-Degree], "&gt;=" &amp; F3)</calculatedColumnFormula>
    </tableColumn>
    <tableColumn id="5" name="Out-Degree Bin" dataDxfId="94"/>
    <tableColumn id="6" name="Out-Degree Frequency" dataDxfId="93">
      <calculatedColumnFormula>COUNTIF(Vertices[Out-Degree], "&gt;= " &amp; H2) - COUNTIF(Vertices[Out-Degree], "&gt;=" &amp; H3)</calculatedColumnFormula>
    </tableColumn>
    <tableColumn id="7" name="Betweenness Centrality Bin" dataDxfId="92"/>
    <tableColumn id="8" name="Betweenness Centrality Frequency" dataDxfId="91">
      <calculatedColumnFormula>COUNTIF(Vertices[Betweenness Centrality], "&gt;= " &amp; J2) - COUNTIF(Vertices[Betweenness Centrality], "&gt;=" &amp; J3)</calculatedColumnFormula>
    </tableColumn>
    <tableColumn id="9" name="Closeness Centrality Bin" dataDxfId="90"/>
    <tableColumn id="10" name="Closeness Centrality Frequency" dataDxfId="89">
      <calculatedColumnFormula>COUNTIF(Vertices[Closeness Centrality], "&gt;= " &amp; L2) - COUNTIF(Vertices[Closeness Centrality], "&gt;=" &amp; L3)</calculatedColumnFormula>
    </tableColumn>
    <tableColumn id="11" name="Eigenvector Centrality Bin" dataDxfId="88"/>
    <tableColumn id="12" name="Eigenvector Centrality Frequency" dataDxfId="87">
      <calculatedColumnFormula>COUNTIF(Vertices[Eigenvector Centrality], "&gt;= " &amp; N2) - COUNTIF(Vertices[Eigenvector Centrality], "&gt;=" &amp; N3)</calculatedColumnFormula>
    </tableColumn>
    <tableColumn id="18" name="PageRank Bin" dataDxfId="86"/>
    <tableColumn id="17" name="PageRank Frequency" dataDxfId="85">
      <calculatedColumnFormula>COUNTIF(Vertices[Eigenvector Centrality], "&gt;= " &amp; P2) - COUNTIF(Vertices[Eigenvector Centrality], "&gt;=" &amp; P3)</calculatedColumnFormula>
    </tableColumn>
    <tableColumn id="13" name="Clustering Coefficient Bin" dataDxfId="84"/>
    <tableColumn id="14" name="Clustering Coefficient Frequency" dataDxfId="83">
      <calculatedColumnFormula>COUNTIF(Vertices[Clustering Coefficient], "&gt;= " &amp; R2) - COUNTIF(Vertices[Clustering Coefficient], "&gt;=" &amp; R3)</calculatedColumnFormula>
    </tableColumn>
    <tableColumn id="15" name="Dynamic Filter Bin" dataDxfId="82"/>
    <tableColumn id="16" name="Dynamic Filter Frequency" dataDxfId="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80">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
  <sheetViews>
    <sheetView tabSelected="1" zoomScale="82" zoomScaleNormal="82" workbookViewId="0" topLeftCell="A1">
      <pane xSplit="2" ySplit="2" topLeftCell="C3" activePane="bottomRight" state="frozen"/>
      <selection pane="topRight" activeCell="C1" sqref="C1"/>
      <selection pane="bottomLeft" activeCell="A3" sqref="A3"/>
      <selection pane="bottomRight" activeCell="A2" sqref="A2:P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1.421875" style="0" bestFit="1" customWidth="1"/>
  </cols>
  <sheetData>
    <row r="1" spans="3:14" ht="15">
      <c r="C1" s="18" t="s">
        <v>40</v>
      </c>
      <c r="D1" s="19"/>
      <c r="E1" s="19"/>
      <c r="F1" s="19"/>
      <c r="G1" s="18"/>
      <c r="H1" s="16" t="s">
        <v>44</v>
      </c>
      <c r="I1" s="65"/>
      <c r="J1" s="65"/>
      <c r="K1" s="35" t="s">
        <v>43</v>
      </c>
      <c r="L1" s="20" t="s">
        <v>41</v>
      </c>
      <c r="M1" s="20"/>
      <c r="N1" s="17" t="s">
        <v>42</v>
      </c>
    </row>
    <row r="2" spans="1:16"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230</v>
      </c>
      <c r="P2" s="13" t="s">
        <v>231</v>
      </c>
    </row>
    <row r="3" spans="1:16" ht="15" customHeight="1">
      <c r="A3" s="50" t="s">
        <v>175</v>
      </c>
      <c r="B3" s="50" t="s">
        <v>176</v>
      </c>
      <c r="C3" s="53"/>
      <c r="D3" s="54"/>
      <c r="E3" s="66"/>
      <c r="F3" s="55"/>
      <c r="G3" s="53"/>
      <c r="H3" s="57"/>
      <c r="I3" s="56"/>
      <c r="J3" s="56"/>
      <c r="K3" s="68"/>
      <c r="L3" s="62">
        <v>3</v>
      </c>
      <c r="M3" s="62"/>
      <c r="N3" s="63"/>
      <c r="O3" s="114" t="str">
        <f>REPLACE(INDEX(GroupVertices[Group],MATCH(Edges[[#This Row],[Vertex 1]],GroupVertices[Vertex],0)),1,1,"")</f>
        <v>1</v>
      </c>
      <c r="P3" s="114" t="str">
        <f>REPLACE(INDEX(GroupVertices[Group],MATCH(Edges[[#This Row],[Vertex 2]],GroupVertices[Vertex],0)),1,1,"")</f>
        <v>1</v>
      </c>
    </row>
    <row r="4" spans="1:16" ht="15" customHeight="1">
      <c r="A4" s="84" t="s">
        <v>175</v>
      </c>
      <c r="B4" s="84" t="s">
        <v>177</v>
      </c>
      <c r="C4" s="85"/>
      <c r="D4" s="86"/>
      <c r="E4" s="87"/>
      <c r="F4" s="88"/>
      <c r="G4" s="85"/>
      <c r="H4" s="89"/>
      <c r="I4" s="90"/>
      <c r="J4" s="90"/>
      <c r="K4" s="91"/>
      <c r="L4" s="92">
        <v>4</v>
      </c>
      <c r="M4" s="92"/>
      <c r="N4" s="93"/>
      <c r="O4" s="114" t="str">
        <f>REPLACE(INDEX(GroupVertices[Group],MATCH(Edges[[#This Row],[Vertex 1]],GroupVertices[Vertex],0)),1,1,"")</f>
        <v>1</v>
      </c>
      <c r="P4" s="114" t="str">
        <f>REPLACE(INDEX(GroupVertices[Group],MATCH(Edges[[#This Row],[Vertex 2]],GroupVertices[Vertex],0)),1,1,"")</f>
        <v>1</v>
      </c>
    </row>
    <row r="5" spans="1:16" ht="15">
      <c r="A5" s="84" t="s">
        <v>175</v>
      </c>
      <c r="B5" s="84" t="s">
        <v>178</v>
      </c>
      <c r="C5" s="85"/>
      <c r="D5" s="86"/>
      <c r="E5" s="87"/>
      <c r="F5" s="88"/>
      <c r="G5" s="85"/>
      <c r="H5" s="89"/>
      <c r="I5" s="90"/>
      <c r="J5" s="90"/>
      <c r="K5" s="91"/>
      <c r="L5" s="92">
        <v>5</v>
      </c>
      <c r="M5" s="92"/>
      <c r="N5" s="93"/>
      <c r="O5" s="114" t="str">
        <f>REPLACE(INDEX(GroupVertices[Group],MATCH(Edges[[#This Row],[Vertex 1]],GroupVertices[Vertex],0)),1,1,"")</f>
        <v>1</v>
      </c>
      <c r="P5" s="114" t="str">
        <f>REPLACE(INDEX(GroupVertices[Group],MATCH(Edges[[#This Row],[Vertex 2]],GroupVertices[Vertex],0)),1,1,"")</f>
        <v>1</v>
      </c>
    </row>
    <row r="6" spans="1:16" ht="15">
      <c r="A6" s="84" t="s">
        <v>175</v>
      </c>
      <c r="B6" s="84" t="s">
        <v>179</v>
      </c>
      <c r="C6" s="85"/>
      <c r="D6" s="86"/>
      <c r="E6" s="87"/>
      <c r="F6" s="88"/>
      <c r="G6" s="85"/>
      <c r="H6" s="89"/>
      <c r="I6" s="90"/>
      <c r="J6" s="90"/>
      <c r="K6" s="91"/>
      <c r="L6" s="92">
        <v>6</v>
      </c>
      <c r="M6" s="92"/>
      <c r="N6" s="93"/>
      <c r="O6" s="114" t="str">
        <f>REPLACE(INDEX(GroupVertices[Group],MATCH(Edges[[#This Row],[Vertex 1]],GroupVertices[Vertex],0)),1,1,"")</f>
        <v>1</v>
      </c>
      <c r="P6" s="114" t="str">
        <f>REPLACE(INDEX(GroupVertices[Group],MATCH(Edges[[#This Row],[Vertex 2]],GroupVertices[Vertex],0)),1,1,"")</f>
        <v>2</v>
      </c>
    </row>
    <row r="7" spans="1:16" ht="15">
      <c r="A7" s="84" t="s">
        <v>176</v>
      </c>
      <c r="B7" s="84" t="s">
        <v>177</v>
      </c>
      <c r="C7" s="85"/>
      <c r="D7" s="86"/>
      <c r="E7" s="87"/>
      <c r="F7" s="88"/>
      <c r="G7" s="85"/>
      <c r="H7" s="89"/>
      <c r="I7" s="90"/>
      <c r="J7" s="90"/>
      <c r="K7" s="91"/>
      <c r="L7" s="92">
        <v>7</v>
      </c>
      <c r="M7" s="92"/>
      <c r="N7" s="93"/>
      <c r="O7" s="114" t="str">
        <f>REPLACE(INDEX(GroupVertices[Group],MATCH(Edges[[#This Row],[Vertex 1]],GroupVertices[Vertex],0)),1,1,"")</f>
        <v>1</v>
      </c>
      <c r="P7" s="114" t="str">
        <f>REPLACE(INDEX(GroupVertices[Group],MATCH(Edges[[#This Row],[Vertex 2]],GroupVertices[Vertex],0)),1,1,"")</f>
        <v>1</v>
      </c>
    </row>
    <row r="8" spans="1:16" ht="15">
      <c r="A8" s="84" t="s">
        <v>176</v>
      </c>
      <c r="B8" s="84" t="s">
        <v>178</v>
      </c>
      <c r="C8" s="85"/>
      <c r="D8" s="86"/>
      <c r="E8" s="87"/>
      <c r="F8" s="88"/>
      <c r="G8" s="85"/>
      <c r="H8" s="89"/>
      <c r="I8" s="90"/>
      <c r="J8" s="90"/>
      <c r="K8" s="91"/>
      <c r="L8" s="92">
        <v>8</v>
      </c>
      <c r="M8" s="92"/>
      <c r="N8" s="93"/>
      <c r="O8" s="114" t="str">
        <f>REPLACE(INDEX(GroupVertices[Group],MATCH(Edges[[#This Row],[Vertex 1]],GroupVertices[Vertex],0)),1,1,"")</f>
        <v>1</v>
      </c>
      <c r="P8" s="114" t="str">
        <f>REPLACE(INDEX(GroupVertices[Group],MATCH(Edges[[#This Row],[Vertex 2]],GroupVertices[Vertex],0)),1,1,"")</f>
        <v>1</v>
      </c>
    </row>
    <row r="9" spans="1:16" ht="15">
      <c r="A9" s="84" t="s">
        <v>176</v>
      </c>
      <c r="B9" s="84" t="s">
        <v>180</v>
      </c>
      <c r="C9" s="85"/>
      <c r="D9" s="86"/>
      <c r="E9" s="87"/>
      <c r="F9" s="88"/>
      <c r="G9" s="85"/>
      <c r="H9" s="89"/>
      <c r="I9" s="90"/>
      <c r="J9" s="90"/>
      <c r="K9" s="91"/>
      <c r="L9" s="92">
        <v>9</v>
      </c>
      <c r="M9" s="92"/>
      <c r="N9" s="93"/>
      <c r="O9" s="114" t="str">
        <f>REPLACE(INDEX(GroupVertices[Group],MATCH(Edges[[#This Row],[Vertex 1]],GroupVertices[Vertex],0)),1,1,"")</f>
        <v>1</v>
      </c>
      <c r="P9" s="114" t="str">
        <f>REPLACE(INDEX(GroupVertices[Group],MATCH(Edges[[#This Row],[Vertex 2]],GroupVertices[Vertex],0)),1,1,"")</f>
        <v>2</v>
      </c>
    </row>
    <row r="10" spans="1:16" ht="15">
      <c r="A10" s="84" t="s">
        <v>177</v>
      </c>
      <c r="B10" s="84" t="s">
        <v>178</v>
      </c>
      <c r="C10" s="85"/>
      <c r="D10" s="86"/>
      <c r="E10" s="87"/>
      <c r="F10" s="88"/>
      <c r="G10" s="85"/>
      <c r="H10" s="89"/>
      <c r="I10" s="90"/>
      <c r="J10" s="90"/>
      <c r="K10" s="91"/>
      <c r="L10" s="92">
        <v>10</v>
      </c>
      <c r="M10" s="92"/>
      <c r="N10" s="93"/>
      <c r="O10" s="114" t="str">
        <f>REPLACE(INDEX(GroupVertices[Group],MATCH(Edges[[#This Row],[Vertex 1]],GroupVertices[Vertex],0)),1,1,"")</f>
        <v>1</v>
      </c>
      <c r="P10" s="114" t="str">
        <f>REPLACE(INDEX(GroupVertices[Group],MATCH(Edges[[#This Row],[Vertex 2]],GroupVertices[Vertex],0)),1,1,"")</f>
        <v>1</v>
      </c>
    </row>
    <row r="11" spans="1:16" ht="15">
      <c r="A11" s="84" t="s">
        <v>177</v>
      </c>
      <c r="B11" s="84" t="s">
        <v>180</v>
      </c>
      <c r="C11" s="85"/>
      <c r="D11" s="86"/>
      <c r="E11" s="87"/>
      <c r="F11" s="88"/>
      <c r="G11" s="85"/>
      <c r="H11" s="89"/>
      <c r="I11" s="90"/>
      <c r="J11" s="90"/>
      <c r="K11" s="91"/>
      <c r="L11" s="92">
        <v>11</v>
      </c>
      <c r="M11" s="92"/>
      <c r="N11" s="93"/>
      <c r="O11" s="114" t="str">
        <f>REPLACE(INDEX(GroupVertices[Group],MATCH(Edges[[#This Row],[Vertex 1]],GroupVertices[Vertex],0)),1,1,"")</f>
        <v>1</v>
      </c>
      <c r="P11" s="114" t="str">
        <f>REPLACE(INDEX(GroupVertices[Group],MATCH(Edges[[#This Row],[Vertex 2]],GroupVertices[Vertex],0)),1,1,"")</f>
        <v>2</v>
      </c>
    </row>
    <row r="12" spans="1:16" ht="15">
      <c r="A12" s="84" t="s">
        <v>178</v>
      </c>
      <c r="B12" s="84" t="s">
        <v>180</v>
      </c>
      <c r="C12" s="85"/>
      <c r="D12" s="86"/>
      <c r="E12" s="87"/>
      <c r="F12" s="88"/>
      <c r="G12" s="85"/>
      <c r="H12" s="89"/>
      <c r="I12" s="90"/>
      <c r="J12" s="90"/>
      <c r="K12" s="91"/>
      <c r="L12" s="92">
        <v>12</v>
      </c>
      <c r="M12" s="92"/>
      <c r="N12" s="93"/>
      <c r="O12" s="114" t="str">
        <f>REPLACE(INDEX(GroupVertices[Group],MATCH(Edges[[#This Row],[Vertex 1]],GroupVertices[Vertex],0)),1,1,"")</f>
        <v>1</v>
      </c>
      <c r="P12" s="114" t="str">
        <f>REPLACE(INDEX(GroupVertices[Group],MATCH(Edges[[#This Row],[Vertex 2]],GroupVertices[Vertex],0)),1,1,"")</f>
        <v>2</v>
      </c>
    </row>
    <row r="13" spans="1:16" ht="15">
      <c r="A13" s="84" t="s">
        <v>178</v>
      </c>
      <c r="B13" s="84" t="s">
        <v>179</v>
      </c>
      <c r="C13" s="85"/>
      <c r="D13" s="86"/>
      <c r="E13" s="87"/>
      <c r="F13" s="88"/>
      <c r="G13" s="85"/>
      <c r="H13" s="89"/>
      <c r="I13" s="90"/>
      <c r="J13" s="90"/>
      <c r="K13" s="91"/>
      <c r="L13" s="92">
        <v>13</v>
      </c>
      <c r="M13" s="92"/>
      <c r="N13" s="93"/>
      <c r="O13" s="114" t="str">
        <f>REPLACE(INDEX(GroupVertices[Group],MATCH(Edges[[#This Row],[Vertex 1]],GroupVertices[Vertex],0)),1,1,"")</f>
        <v>1</v>
      </c>
      <c r="P13" s="114" t="str">
        <f>REPLACE(INDEX(GroupVertices[Group],MATCH(Edges[[#This Row],[Vertex 2]],GroupVertices[Vertex],0)),1,1,"")</f>
        <v>2</v>
      </c>
    </row>
    <row r="14" spans="1:16" ht="15">
      <c r="A14" s="84" t="s">
        <v>179</v>
      </c>
      <c r="B14" s="84" t="s">
        <v>176</v>
      </c>
      <c r="C14" s="85"/>
      <c r="D14" s="86"/>
      <c r="E14" s="87"/>
      <c r="F14" s="88"/>
      <c r="G14" s="85"/>
      <c r="H14" s="89"/>
      <c r="I14" s="90"/>
      <c r="J14" s="90"/>
      <c r="K14" s="91"/>
      <c r="L14" s="92">
        <v>14</v>
      </c>
      <c r="M14" s="92"/>
      <c r="N14" s="93"/>
      <c r="O14" s="114" t="str">
        <f>REPLACE(INDEX(GroupVertices[Group],MATCH(Edges[[#This Row],[Vertex 1]],GroupVertices[Vertex],0)),1,1,"")</f>
        <v>2</v>
      </c>
      <c r="P14" s="114" t="str">
        <f>REPLACE(INDEX(GroupVertices[Group],MATCH(Edges[[#This Row],[Vertex 2]],GroupVertices[Vertex],0)),1,1,"")</f>
        <v>1</v>
      </c>
    </row>
    <row r="15" spans="1:16" ht="15">
      <c r="A15" s="84" t="s">
        <v>179</v>
      </c>
      <c r="B15" s="84" t="s">
        <v>178</v>
      </c>
      <c r="C15" s="85"/>
      <c r="D15" s="86"/>
      <c r="E15" s="87"/>
      <c r="F15" s="88"/>
      <c r="G15" s="85"/>
      <c r="H15" s="89"/>
      <c r="I15" s="90"/>
      <c r="J15" s="90"/>
      <c r="K15" s="91"/>
      <c r="L15" s="92">
        <v>15</v>
      </c>
      <c r="M15" s="92"/>
      <c r="N15" s="93"/>
      <c r="O15" s="114" t="str">
        <f>REPLACE(INDEX(GroupVertices[Group],MATCH(Edges[[#This Row],[Vertex 1]],GroupVertices[Vertex],0)),1,1,"")</f>
        <v>2</v>
      </c>
      <c r="P15" s="114" t="str">
        <f>REPLACE(INDEX(GroupVertices[Group],MATCH(Edges[[#This Row],[Vertex 2]],GroupVertices[Vertex],0)),1,1,"")</f>
        <v>1</v>
      </c>
    </row>
    <row r="16" spans="1:16" ht="15">
      <c r="A16" s="84" t="s">
        <v>180</v>
      </c>
      <c r="B16" s="84" t="s">
        <v>179</v>
      </c>
      <c r="C16" s="85"/>
      <c r="D16" s="86"/>
      <c r="E16" s="87"/>
      <c r="F16" s="88"/>
      <c r="G16" s="85"/>
      <c r="H16" s="89"/>
      <c r="I16" s="90"/>
      <c r="J16" s="90"/>
      <c r="K16" s="91"/>
      <c r="L16" s="92">
        <v>16</v>
      </c>
      <c r="M16" s="92"/>
      <c r="N16" s="93"/>
      <c r="O16" s="114" t="str">
        <f>REPLACE(INDEX(GroupVertices[Group],MATCH(Edges[[#This Row],[Vertex 1]],GroupVertices[Vertex],0)),1,1,"")</f>
        <v>2</v>
      </c>
      <c r="P16" s="11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42"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17" t="s">
        <v>204</v>
      </c>
      <c r="AE2" s="117" t="s">
        <v>205</v>
      </c>
      <c r="AF2" s="117" t="s">
        <v>206</v>
      </c>
      <c r="AG2" s="117" t="s">
        <v>207</v>
      </c>
      <c r="AH2" s="117" t="s">
        <v>208</v>
      </c>
      <c r="AI2" s="117" t="s">
        <v>209</v>
      </c>
      <c r="AJ2" s="117" t="s">
        <v>210</v>
      </c>
      <c r="AK2" s="117" t="s">
        <v>212</v>
      </c>
      <c r="AL2" s="117" t="s">
        <v>213</v>
      </c>
      <c r="AM2" s="117" t="s">
        <v>214</v>
      </c>
      <c r="AN2" s="13" t="s">
        <v>229</v>
      </c>
      <c r="AO2" s="3"/>
      <c r="AP2" s="3"/>
    </row>
    <row r="3" spans="1:42" ht="15" customHeight="1">
      <c r="A3" s="50" t="s">
        <v>175</v>
      </c>
      <c r="B3" s="53"/>
      <c r="C3" s="53"/>
      <c r="D3" s="54">
        <v>4</v>
      </c>
      <c r="E3" s="55">
        <v>50</v>
      </c>
      <c r="F3" s="53"/>
      <c r="G3" s="53"/>
      <c r="H3" s="57" t="s">
        <v>175</v>
      </c>
      <c r="I3" s="56"/>
      <c r="J3" s="56"/>
      <c r="K3" s="57" t="s">
        <v>233</v>
      </c>
      <c r="L3" s="59"/>
      <c r="M3" s="60">
        <v>151.1182861328125</v>
      </c>
      <c r="N3" s="60">
        <v>7572.2978515625</v>
      </c>
      <c r="O3" s="58"/>
      <c r="P3" s="61"/>
      <c r="Q3" s="61"/>
      <c r="R3" s="51">
        <v>4</v>
      </c>
      <c r="S3" s="51"/>
      <c r="T3" s="51"/>
      <c r="U3" s="52">
        <v>0.25</v>
      </c>
      <c r="V3" s="52">
        <v>0.166667</v>
      </c>
      <c r="W3" s="52">
        <v>0.15693</v>
      </c>
      <c r="X3" s="52">
        <v>0.932185</v>
      </c>
      <c r="Y3" s="52">
        <v>0.8333333333333334</v>
      </c>
      <c r="Z3" s="52"/>
      <c r="AA3" s="62">
        <v>3</v>
      </c>
      <c r="AB3" s="62"/>
      <c r="AC3" s="63"/>
      <c r="AD3" s="51"/>
      <c r="AE3" s="51"/>
      <c r="AF3" s="51"/>
      <c r="AG3" s="51"/>
      <c r="AH3" s="51"/>
      <c r="AI3" s="51"/>
      <c r="AJ3" s="118" t="s">
        <v>211</v>
      </c>
      <c r="AK3" s="118" t="s">
        <v>211</v>
      </c>
      <c r="AL3" s="118" t="s">
        <v>211</v>
      </c>
      <c r="AM3" s="118" t="s">
        <v>211</v>
      </c>
      <c r="AN3" s="115" t="str">
        <f>REPLACE(INDEX(GroupVertices[Group],MATCH(Vertices[[#This Row],[Vertex]],GroupVertices[Vertex],0)),1,1,"")</f>
        <v>1</v>
      </c>
      <c r="AO3" s="3"/>
      <c r="AP3" s="3"/>
    </row>
    <row r="4" spans="1:45" ht="15">
      <c r="A4" s="14" t="s">
        <v>176</v>
      </c>
      <c r="B4" s="15"/>
      <c r="C4" s="15"/>
      <c r="D4" s="94">
        <v>10</v>
      </c>
      <c r="E4" s="82">
        <v>100</v>
      </c>
      <c r="F4" s="15"/>
      <c r="G4" s="15"/>
      <c r="H4" s="16" t="s">
        <v>176</v>
      </c>
      <c r="I4" s="67"/>
      <c r="J4" s="67"/>
      <c r="K4" s="16" t="s">
        <v>234</v>
      </c>
      <c r="L4" s="95"/>
      <c r="M4" s="96">
        <v>302.9318542480469</v>
      </c>
      <c r="N4" s="96">
        <v>3133.1748046875</v>
      </c>
      <c r="O4" s="78"/>
      <c r="P4" s="97"/>
      <c r="Q4" s="97"/>
      <c r="R4" s="51">
        <v>5</v>
      </c>
      <c r="S4" s="98"/>
      <c r="T4" s="98"/>
      <c r="U4" s="52">
        <v>0.5</v>
      </c>
      <c r="V4" s="52">
        <v>0.2</v>
      </c>
      <c r="W4" s="52">
        <v>0.186141</v>
      </c>
      <c r="X4" s="52">
        <v>1.135351</v>
      </c>
      <c r="Y4" s="52">
        <v>0.8</v>
      </c>
      <c r="Z4" s="52"/>
      <c r="AA4" s="83">
        <v>4</v>
      </c>
      <c r="AB4" s="83"/>
      <c r="AC4" s="99"/>
      <c r="AD4" s="51"/>
      <c r="AE4" s="51"/>
      <c r="AF4" s="51"/>
      <c r="AG4" s="51"/>
      <c r="AH4" s="51"/>
      <c r="AI4" s="51"/>
      <c r="AJ4" s="118" t="s">
        <v>211</v>
      </c>
      <c r="AK4" s="118" t="s">
        <v>211</v>
      </c>
      <c r="AL4" s="118" t="s">
        <v>211</v>
      </c>
      <c r="AM4" s="118" t="s">
        <v>211</v>
      </c>
      <c r="AN4" s="115" t="str">
        <f>REPLACE(INDEX(GroupVertices[Group],MATCH(Vertices[[#This Row],[Vertex]],GroupVertices[Vertex],0)),1,1,"")</f>
        <v>1</v>
      </c>
      <c r="AO4" s="2"/>
      <c r="AP4" s="3"/>
      <c r="AQ4" s="3"/>
      <c r="AR4" s="3"/>
      <c r="AS4" s="3"/>
    </row>
    <row r="5" spans="1:45" ht="15">
      <c r="A5" s="14" t="s">
        <v>177</v>
      </c>
      <c r="B5" s="15"/>
      <c r="C5" s="15"/>
      <c r="D5" s="94">
        <v>4</v>
      </c>
      <c r="E5" s="82">
        <v>50</v>
      </c>
      <c r="F5" s="15"/>
      <c r="G5" s="15"/>
      <c r="H5" s="16" t="s">
        <v>177</v>
      </c>
      <c r="I5" s="67"/>
      <c r="J5" s="67"/>
      <c r="K5" s="16" t="s">
        <v>233</v>
      </c>
      <c r="L5" s="95"/>
      <c r="M5" s="96">
        <v>4215.203125</v>
      </c>
      <c r="N5" s="96">
        <v>318.2697448730469</v>
      </c>
      <c r="O5" s="78"/>
      <c r="P5" s="97"/>
      <c r="Q5" s="97"/>
      <c r="R5" s="51">
        <v>4</v>
      </c>
      <c r="S5" s="98"/>
      <c r="T5" s="98"/>
      <c r="U5" s="52">
        <v>0.25</v>
      </c>
      <c r="V5" s="52">
        <v>0.166667</v>
      </c>
      <c r="W5" s="52">
        <v>0.15693</v>
      </c>
      <c r="X5" s="52">
        <v>0.932185</v>
      </c>
      <c r="Y5" s="52">
        <v>0.8333333333333334</v>
      </c>
      <c r="Z5" s="52"/>
      <c r="AA5" s="83">
        <v>5</v>
      </c>
      <c r="AB5" s="83"/>
      <c r="AC5" s="99"/>
      <c r="AD5" s="51"/>
      <c r="AE5" s="51"/>
      <c r="AF5" s="51"/>
      <c r="AG5" s="51"/>
      <c r="AH5" s="51"/>
      <c r="AI5" s="51"/>
      <c r="AJ5" s="118" t="s">
        <v>211</v>
      </c>
      <c r="AK5" s="118" t="s">
        <v>211</v>
      </c>
      <c r="AL5" s="118" t="s">
        <v>211</v>
      </c>
      <c r="AM5" s="118" t="s">
        <v>211</v>
      </c>
      <c r="AN5" s="115" t="str">
        <f>REPLACE(INDEX(GroupVertices[Group],MATCH(Vertices[[#This Row],[Vertex]],GroupVertices[Vertex],0)),1,1,"")</f>
        <v>1</v>
      </c>
      <c r="AO5" s="2"/>
      <c r="AP5" s="3"/>
      <c r="AQ5" s="3"/>
      <c r="AR5" s="3"/>
      <c r="AS5" s="3"/>
    </row>
    <row r="6" spans="1:45" ht="15">
      <c r="A6" s="14" t="s">
        <v>178</v>
      </c>
      <c r="B6" s="15"/>
      <c r="C6" s="15"/>
      <c r="D6" s="94">
        <v>10</v>
      </c>
      <c r="E6" s="82">
        <v>100</v>
      </c>
      <c r="F6" s="15"/>
      <c r="G6" s="15"/>
      <c r="H6" s="16" t="s">
        <v>178</v>
      </c>
      <c r="I6" s="67"/>
      <c r="J6" s="67"/>
      <c r="K6" s="16" t="s">
        <v>234</v>
      </c>
      <c r="L6" s="95"/>
      <c r="M6" s="96">
        <v>9823.8828125</v>
      </c>
      <c r="N6" s="96">
        <v>6985.72705078125</v>
      </c>
      <c r="O6" s="78"/>
      <c r="P6" s="97"/>
      <c r="Q6" s="97"/>
      <c r="R6" s="51">
        <v>5</v>
      </c>
      <c r="S6" s="98"/>
      <c r="T6" s="98"/>
      <c r="U6" s="52">
        <v>0.5</v>
      </c>
      <c r="V6" s="52">
        <v>0.2</v>
      </c>
      <c r="W6" s="52">
        <v>0.186141</v>
      </c>
      <c r="X6" s="52">
        <v>1.135351</v>
      </c>
      <c r="Y6" s="52">
        <v>0.8</v>
      </c>
      <c r="Z6" s="52"/>
      <c r="AA6" s="83">
        <v>6</v>
      </c>
      <c r="AB6" s="83"/>
      <c r="AC6" s="99"/>
      <c r="AD6" s="51"/>
      <c r="AE6" s="51"/>
      <c r="AF6" s="51"/>
      <c r="AG6" s="51"/>
      <c r="AH6" s="51"/>
      <c r="AI6" s="51"/>
      <c r="AJ6" s="118" t="s">
        <v>211</v>
      </c>
      <c r="AK6" s="118" t="s">
        <v>211</v>
      </c>
      <c r="AL6" s="118" t="s">
        <v>211</v>
      </c>
      <c r="AM6" s="118" t="s">
        <v>211</v>
      </c>
      <c r="AN6" s="115" t="str">
        <f>REPLACE(INDEX(GroupVertices[Group],MATCH(Vertices[[#This Row],[Vertex]],GroupVertices[Vertex],0)),1,1,"")</f>
        <v>1</v>
      </c>
      <c r="AO6" s="2"/>
      <c r="AP6" s="3"/>
      <c r="AQ6" s="3"/>
      <c r="AR6" s="3"/>
      <c r="AS6" s="3"/>
    </row>
    <row r="7" spans="1:45" ht="15">
      <c r="A7" s="14" t="s">
        <v>179</v>
      </c>
      <c r="B7" s="15"/>
      <c r="C7" s="15"/>
      <c r="D7" s="94">
        <v>4</v>
      </c>
      <c r="E7" s="82">
        <v>50</v>
      </c>
      <c r="F7" s="15"/>
      <c r="G7" s="15"/>
      <c r="H7" s="16" t="s">
        <v>179</v>
      </c>
      <c r="I7" s="67"/>
      <c r="J7" s="67"/>
      <c r="K7" s="16" t="s">
        <v>233</v>
      </c>
      <c r="L7" s="95"/>
      <c r="M7" s="96">
        <v>9691.62890625</v>
      </c>
      <c r="N7" s="96">
        <v>2947.389892578125</v>
      </c>
      <c r="O7" s="78"/>
      <c r="P7" s="97"/>
      <c r="Q7" s="97"/>
      <c r="R7" s="51">
        <v>4</v>
      </c>
      <c r="S7" s="98"/>
      <c r="T7" s="98"/>
      <c r="U7" s="52">
        <v>0.25</v>
      </c>
      <c r="V7" s="52">
        <v>0.166667</v>
      </c>
      <c r="W7" s="52">
        <v>0.15693</v>
      </c>
      <c r="X7" s="52">
        <v>0.932185</v>
      </c>
      <c r="Y7" s="52">
        <v>0.8333333333333334</v>
      </c>
      <c r="Z7" s="52"/>
      <c r="AA7" s="83">
        <v>7</v>
      </c>
      <c r="AB7" s="83"/>
      <c r="AC7" s="99"/>
      <c r="AD7" s="51"/>
      <c r="AE7" s="51"/>
      <c r="AF7" s="51"/>
      <c r="AG7" s="51"/>
      <c r="AH7" s="51"/>
      <c r="AI7" s="51"/>
      <c r="AJ7" s="118" t="s">
        <v>211</v>
      </c>
      <c r="AK7" s="118" t="s">
        <v>211</v>
      </c>
      <c r="AL7" s="118" t="s">
        <v>211</v>
      </c>
      <c r="AM7" s="118" t="s">
        <v>211</v>
      </c>
      <c r="AN7" s="115" t="str">
        <f>REPLACE(INDEX(GroupVertices[Group],MATCH(Vertices[[#This Row],[Vertex]],GroupVertices[Vertex],0)),1,1,"")</f>
        <v>2</v>
      </c>
      <c r="AO7" s="2"/>
      <c r="AP7" s="3"/>
      <c r="AQ7" s="3"/>
      <c r="AR7" s="3"/>
      <c r="AS7" s="3"/>
    </row>
    <row r="8" spans="1:45" ht="15">
      <c r="A8" s="100" t="s">
        <v>180</v>
      </c>
      <c r="B8" s="101"/>
      <c r="C8" s="101"/>
      <c r="D8" s="102">
        <v>4</v>
      </c>
      <c r="E8" s="103">
        <v>50</v>
      </c>
      <c r="F8" s="101"/>
      <c r="G8" s="101"/>
      <c r="H8" s="104" t="s">
        <v>180</v>
      </c>
      <c r="I8" s="105"/>
      <c r="J8" s="105"/>
      <c r="K8" s="104" t="s">
        <v>233</v>
      </c>
      <c r="L8" s="106"/>
      <c r="M8" s="107">
        <v>5575.6875</v>
      </c>
      <c r="N8" s="107">
        <v>8991.1435546875</v>
      </c>
      <c r="O8" s="108"/>
      <c r="P8" s="109"/>
      <c r="Q8" s="109"/>
      <c r="R8" s="51">
        <v>4</v>
      </c>
      <c r="S8" s="110"/>
      <c r="T8" s="110"/>
      <c r="U8" s="52">
        <v>0.25</v>
      </c>
      <c r="V8" s="52">
        <v>0.166667</v>
      </c>
      <c r="W8" s="52">
        <v>0.15693</v>
      </c>
      <c r="X8" s="52">
        <v>0.932185</v>
      </c>
      <c r="Y8" s="52">
        <v>0.8333333333333334</v>
      </c>
      <c r="Z8" s="111"/>
      <c r="AA8" s="112">
        <v>8</v>
      </c>
      <c r="AB8" s="112"/>
      <c r="AC8" s="113"/>
      <c r="AD8" s="51"/>
      <c r="AE8" s="51"/>
      <c r="AF8" s="51"/>
      <c r="AG8" s="51"/>
      <c r="AH8" s="51"/>
      <c r="AI8" s="51"/>
      <c r="AJ8" s="118" t="s">
        <v>211</v>
      </c>
      <c r="AK8" s="118" t="s">
        <v>211</v>
      </c>
      <c r="AL8" s="118" t="s">
        <v>211</v>
      </c>
      <c r="AM8" s="118" t="s">
        <v>211</v>
      </c>
      <c r="AN8" s="115" t="str">
        <f>REPLACE(INDEX(GroupVertices[Group],MATCH(Vertices[[#This Row],[Vertex]],GroupVertices[Vertex],0)),1,1,"")</f>
        <v>2</v>
      </c>
      <c r="AO8" s="2"/>
      <c r="AP8" s="3"/>
      <c r="AQ8" s="3"/>
      <c r="AR8" s="3"/>
      <c r="AS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
  <sheetViews>
    <sheetView workbookViewId="0" topLeftCell="A1">
      <pane ySplit="2" topLeftCell="A3" activePane="bottomLeft" state="frozen"/>
      <selection pane="bottomLeft" activeCell="F5" sqref="F5"/>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9" t="s">
        <v>40</v>
      </c>
      <c r="C1" s="70"/>
      <c r="D1" s="70"/>
      <c r="E1" s="71"/>
      <c r="F1" s="67" t="s">
        <v>44</v>
      </c>
      <c r="G1" s="72" t="s">
        <v>45</v>
      </c>
      <c r="H1" s="73"/>
      <c r="I1" s="74" t="s">
        <v>41</v>
      </c>
      <c r="J1" s="75"/>
      <c r="K1" s="76" t="s">
        <v>43</v>
      </c>
      <c r="L1" s="77"/>
      <c r="M1" s="77"/>
      <c r="N1" s="77"/>
      <c r="O1" s="77"/>
      <c r="P1" s="77"/>
      <c r="Q1" s="77"/>
      <c r="R1" s="77"/>
      <c r="S1" s="77"/>
      <c r="T1" s="77"/>
      <c r="U1" s="77"/>
      <c r="V1" s="77"/>
      <c r="W1" s="77"/>
      <c r="X1" s="77"/>
    </row>
    <row r="2" spans="1:32"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13" t="s">
        <v>184</v>
      </c>
      <c r="Z2" s="13" t="s">
        <v>186</v>
      </c>
      <c r="AA2" s="13" t="s">
        <v>188</v>
      </c>
      <c r="AB2" s="13" t="s">
        <v>195</v>
      </c>
      <c r="AC2" s="13" t="s">
        <v>197</v>
      </c>
      <c r="AD2" s="13" t="s">
        <v>200</v>
      </c>
      <c r="AE2" s="13" t="s">
        <v>201</v>
      </c>
      <c r="AF2" s="13" t="s">
        <v>203</v>
      </c>
    </row>
    <row r="3" spans="1:32" ht="15">
      <c r="A3" s="120" t="s">
        <v>227</v>
      </c>
      <c r="B3" s="121" t="s">
        <v>228</v>
      </c>
      <c r="C3" s="121" t="s">
        <v>57</v>
      </c>
      <c r="D3" s="15"/>
      <c r="E3" s="15"/>
      <c r="F3" s="16" t="s">
        <v>238</v>
      </c>
      <c r="G3" s="78"/>
      <c r="H3" s="78"/>
      <c r="I3" s="64">
        <v>3</v>
      </c>
      <c r="J3" s="64"/>
      <c r="K3" s="48"/>
      <c r="L3" s="48"/>
      <c r="M3" s="48"/>
      <c r="N3" s="48"/>
      <c r="O3" s="48"/>
      <c r="P3" s="48"/>
      <c r="Q3" s="48"/>
      <c r="R3" s="48"/>
      <c r="S3" s="48"/>
      <c r="T3" s="48"/>
      <c r="U3" s="48"/>
      <c r="V3" s="48"/>
      <c r="W3" s="49"/>
      <c r="X3" s="49"/>
      <c r="Y3" s="114"/>
      <c r="Z3" s="114"/>
      <c r="AA3" s="114"/>
      <c r="AB3" s="114"/>
      <c r="AC3" s="114"/>
      <c r="AD3" s="114"/>
      <c r="AE3" s="114"/>
      <c r="AF3" s="114"/>
    </row>
    <row r="4" spans="1:32" ht="15">
      <c r="A4" s="122" t="s">
        <v>239</v>
      </c>
      <c r="B4" s="121" t="s">
        <v>240</v>
      </c>
      <c r="C4" s="121" t="s">
        <v>57</v>
      </c>
      <c r="D4" s="123"/>
      <c r="E4" s="101"/>
      <c r="F4" s="104" t="s">
        <v>242</v>
      </c>
      <c r="G4" s="108"/>
      <c r="H4" s="108"/>
      <c r="I4" s="124">
        <v>4</v>
      </c>
      <c r="J4" s="112"/>
      <c r="K4" s="125"/>
      <c r="L4" s="125"/>
      <c r="M4" s="125"/>
      <c r="N4" s="125"/>
      <c r="O4" s="125"/>
      <c r="P4" s="125"/>
      <c r="Q4" s="125"/>
      <c r="R4" s="125"/>
      <c r="S4" s="125"/>
      <c r="T4" s="125"/>
      <c r="U4" s="125"/>
      <c r="V4" s="125"/>
      <c r="W4" s="126"/>
      <c r="X4" s="126"/>
      <c r="Y4" s="127"/>
      <c r="Z4" s="127"/>
      <c r="AA4" s="127"/>
      <c r="AB4" s="127"/>
      <c r="AC4" s="127"/>
      <c r="AD4" s="127"/>
      <c r="AE4" s="127"/>
      <c r="AF4" s="127"/>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114" t="s">
        <v>227</v>
      </c>
      <c r="B2" s="115" t="s">
        <v>178</v>
      </c>
      <c r="C2" s="114">
        <f>VLOOKUP(GroupVertices[[#This Row],[Vertex]],Vertices[],MATCH("ID",Vertices[[#Headers],[Vertex]:[Vertex Group]],0),FALSE)</f>
        <v>6</v>
      </c>
    </row>
    <row r="3" spans="1:3" ht="15">
      <c r="A3" s="114" t="s">
        <v>227</v>
      </c>
      <c r="B3" s="115" t="s">
        <v>176</v>
      </c>
      <c r="C3" s="114">
        <f>VLOOKUP(GroupVertices[[#This Row],[Vertex]],Vertices[],MATCH("ID",Vertices[[#Headers],[Vertex]:[Vertex Group]],0),FALSE)</f>
        <v>4</v>
      </c>
    </row>
    <row r="4" spans="1:3" ht="15">
      <c r="A4" s="114" t="s">
        <v>227</v>
      </c>
      <c r="B4" s="115" t="s">
        <v>175</v>
      </c>
      <c r="C4" s="114">
        <f>VLOOKUP(GroupVertices[[#This Row],[Vertex]],Vertices[],MATCH("ID",Vertices[[#Headers],[Vertex]:[Vertex Group]],0),FALSE)</f>
        <v>3</v>
      </c>
    </row>
    <row r="5" spans="1:3" ht="15">
      <c r="A5" s="114" t="s">
        <v>227</v>
      </c>
      <c r="B5" s="115" t="s">
        <v>177</v>
      </c>
      <c r="C5" s="114">
        <f>VLOOKUP(GroupVertices[[#This Row],[Vertex]],Vertices[],MATCH("ID",Vertices[[#Headers],[Vertex]:[Vertex Group]],0),FALSE)</f>
        <v>5</v>
      </c>
    </row>
    <row r="6" spans="1:3" ht="15">
      <c r="A6" s="114" t="s">
        <v>239</v>
      </c>
      <c r="B6" s="115" t="s">
        <v>179</v>
      </c>
      <c r="C6" s="114">
        <f>VLOOKUP(GroupVertices[[#This Row],[Vertex]],Vertices[],MATCH("ID",Vertices[[#Headers],[Vertex]:[Vertex Group]],0),FALSE)</f>
        <v>7</v>
      </c>
    </row>
    <row r="7" spans="1:3" ht="15">
      <c r="A7" s="114" t="s">
        <v>239</v>
      </c>
      <c r="B7" s="115" t="s">
        <v>180</v>
      </c>
      <c r="C7" s="114">
        <f>VLOOKUP(GroupVertices[[#This Row],[Vertex]],Vertices[],MATCH("ID",Vertices[[#Headers],[Vertex]:[Vertex Group]],0),FALSE)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47">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7" t="s">
        <v>87</v>
      </c>
      <c r="G1" s="38" t="s">
        <v>88</v>
      </c>
      <c r="H1" s="37" t="s">
        <v>93</v>
      </c>
      <c r="I1" s="38" t="s">
        <v>94</v>
      </c>
      <c r="J1" s="37" t="s">
        <v>99</v>
      </c>
      <c r="K1" s="38" t="s">
        <v>100</v>
      </c>
      <c r="L1" s="37" t="s">
        <v>105</v>
      </c>
      <c r="M1" s="38" t="s">
        <v>106</v>
      </c>
      <c r="N1" s="37" t="s">
        <v>111</v>
      </c>
      <c r="O1" s="38" t="s">
        <v>112</v>
      </c>
      <c r="P1" s="38" t="s">
        <v>139</v>
      </c>
      <c r="Q1" s="38" t="s">
        <v>140</v>
      </c>
      <c r="R1" s="37" t="s">
        <v>117</v>
      </c>
      <c r="S1" s="37" t="s">
        <v>118</v>
      </c>
      <c r="T1" s="37" t="s">
        <v>123</v>
      </c>
      <c r="U1" s="38" t="s">
        <v>124</v>
      </c>
      <c r="W1" t="s">
        <v>128</v>
      </c>
      <c r="X1" t="s">
        <v>17</v>
      </c>
    </row>
    <row r="2" spans="1:24" ht="15.75" thickTop="1">
      <c r="A2" s="36" t="s">
        <v>215</v>
      </c>
      <c r="B2" s="36" t="s">
        <v>31</v>
      </c>
      <c r="D2" s="33">
        <f>MIN(Vertices[Degree])</f>
        <v>4</v>
      </c>
      <c r="E2" s="3">
        <f>COUNTIF(Vertices[Degree],"&gt;= "&amp;D2)-COUNTIF(Vertices[Degree],"&gt;="&amp;D3)</f>
        <v>4</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0.25</v>
      </c>
      <c r="K2" s="40">
        <f>COUNTIF(Vertices[Betweenness Centrality],"&gt;= "&amp;J2)-COUNTIF(Vertices[Betweenness Centrality],"&gt;="&amp;J3)</f>
        <v>4</v>
      </c>
      <c r="L2" s="39">
        <f>MIN(Vertices[Closeness Centrality])</f>
        <v>0.166667</v>
      </c>
      <c r="M2" s="40">
        <f>COUNTIF(Vertices[Closeness Centrality],"&gt;= "&amp;L2)-COUNTIF(Vertices[Closeness Centrality],"&gt;="&amp;L3)</f>
        <v>4</v>
      </c>
      <c r="N2" s="39">
        <f>MIN(Vertices[Eigenvector Centrality])</f>
        <v>0.15693</v>
      </c>
      <c r="O2" s="40">
        <f>COUNTIF(Vertices[Eigenvector Centrality],"&gt;= "&amp;N2)-COUNTIF(Vertices[Eigenvector Centrality],"&gt;="&amp;N3)</f>
        <v>4</v>
      </c>
      <c r="P2" s="39">
        <f>MIN(Vertices[PageRank])</f>
        <v>0.932185</v>
      </c>
      <c r="Q2" s="40">
        <f>COUNTIF(Vertices[PageRank],"&gt;= "&amp;P2)-COUNTIF(Vertices[PageRank],"&gt;="&amp;P3)</f>
        <v>4</v>
      </c>
      <c r="R2" s="39">
        <f>MIN(Vertices[Clustering Coefficient])</f>
        <v>0.8</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125</v>
      </c>
      <c r="X2">
        <f>ROWS(HistogramBins[Degree Bin])-1</f>
        <v>55</v>
      </c>
    </row>
    <row r="3" spans="1:24" ht="15">
      <c r="A3" s="119"/>
      <c r="B3" s="119"/>
      <c r="D3" s="34">
        <f aca="true" t="shared" si="1" ref="D3:D26">D2+($D$57-$D$2)/BinDivisor</f>
        <v>4.0181818181818185</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0.2545454545454545</v>
      </c>
      <c r="K3" s="42">
        <f>COUNTIF(Vertices[Betweenness Centrality],"&gt;= "&amp;J3)-COUNTIF(Vertices[Betweenness Centrality],"&gt;="&amp;J4)</f>
        <v>0</v>
      </c>
      <c r="L3" s="41">
        <f aca="true" t="shared" si="5" ref="L3:L26">L2+($L$57-$L$2)/BinDivisor</f>
        <v>0.16727305454545455</v>
      </c>
      <c r="M3" s="42">
        <f>COUNTIF(Vertices[Closeness Centrality],"&gt;= "&amp;L3)-COUNTIF(Vertices[Closeness Centrality],"&gt;="&amp;L4)</f>
        <v>0</v>
      </c>
      <c r="N3" s="41">
        <f aca="true" t="shared" si="6" ref="N3:N26">N2+($N$57-$N$2)/BinDivisor</f>
        <v>0.15746110909090907</v>
      </c>
      <c r="O3" s="42">
        <f>COUNTIF(Vertices[Eigenvector Centrality],"&gt;= "&amp;N3)-COUNTIF(Vertices[Eigenvector Centrality],"&gt;="&amp;N4)</f>
        <v>0</v>
      </c>
      <c r="P3" s="41">
        <f aca="true" t="shared" si="7" ref="P3:P26">P2+($P$57-$P$2)/BinDivisor</f>
        <v>0.9358789272727274</v>
      </c>
      <c r="Q3" s="42">
        <f>COUNTIF(Vertices[PageRank],"&gt;= "&amp;P3)-COUNTIF(Vertices[PageRank],"&gt;="&amp;P4)</f>
        <v>0</v>
      </c>
      <c r="R3" s="41">
        <f aca="true" t="shared" si="8" ref="R3:R26">R2+($R$57-$R$2)/BinDivisor</f>
        <v>0.8006060606060607</v>
      </c>
      <c r="S3" s="46">
        <f>COUNTIF(Vertices[Clustering Coefficient],"&gt;= "&amp;R3)-COUNTIF(Vertices[Clustering Coefficient],"&gt;="&amp;R4)</f>
        <v>0</v>
      </c>
      <c r="T3" s="41" t="e">
        <f aca="true" t="shared" si="9" ref="T3:T26">T2+($T$57-$T$2)/BinDivisor</f>
        <v>#REF!</v>
      </c>
      <c r="U3" s="42" t="e">
        <f ca="1" t="shared" si="0"/>
        <v>#REF!</v>
      </c>
      <c r="W3" t="s">
        <v>126</v>
      </c>
      <c r="X3" t="s">
        <v>86</v>
      </c>
    </row>
    <row r="4" spans="1:24" ht="15">
      <c r="A4" s="36" t="s">
        <v>147</v>
      </c>
      <c r="B4" s="36">
        <v>6</v>
      </c>
      <c r="D4" s="34">
        <f t="shared" si="1"/>
        <v>4.036363636363637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0.25909090909090904</v>
      </c>
      <c r="K4" s="40">
        <f>COUNTIF(Vertices[Betweenness Centrality],"&gt;= "&amp;J4)-COUNTIF(Vertices[Betweenness Centrality],"&gt;="&amp;J5)</f>
        <v>0</v>
      </c>
      <c r="L4" s="39">
        <f t="shared" si="5"/>
        <v>0.16787910909090908</v>
      </c>
      <c r="M4" s="40">
        <f>COUNTIF(Vertices[Closeness Centrality],"&gt;= "&amp;L4)-COUNTIF(Vertices[Closeness Centrality],"&gt;="&amp;L5)</f>
        <v>0</v>
      </c>
      <c r="N4" s="39">
        <f t="shared" si="6"/>
        <v>0.15799221818181816</v>
      </c>
      <c r="O4" s="40">
        <f>COUNTIF(Vertices[Eigenvector Centrality],"&gt;= "&amp;N4)-COUNTIF(Vertices[Eigenvector Centrality],"&gt;="&amp;N5)</f>
        <v>0</v>
      </c>
      <c r="P4" s="39">
        <f t="shared" si="7"/>
        <v>0.9395728545454547</v>
      </c>
      <c r="Q4" s="40">
        <f>COUNTIF(Vertices[PageRank],"&gt;= "&amp;P4)-COUNTIF(Vertices[PageRank],"&gt;="&amp;P5)</f>
        <v>0</v>
      </c>
      <c r="R4" s="39">
        <f t="shared" si="8"/>
        <v>0.8012121212121213</v>
      </c>
      <c r="S4" s="45">
        <f>COUNTIF(Vertices[Clustering Coefficient],"&gt;= "&amp;R4)-COUNTIF(Vertices[Clustering Coefficient],"&gt;="&amp;R5)</f>
        <v>0</v>
      </c>
      <c r="T4" s="39" t="e">
        <f ca="1" t="shared" si="9"/>
        <v>#REF!</v>
      </c>
      <c r="U4" s="40" t="e">
        <f ca="1" t="shared" si="0"/>
        <v>#REF!</v>
      </c>
      <c r="W4" s="12" t="s">
        <v>127</v>
      </c>
      <c r="X4" s="12" t="s">
        <v>129</v>
      </c>
    </row>
    <row r="5" spans="1:21" ht="15">
      <c r="A5" s="119"/>
      <c r="B5" s="119"/>
      <c r="D5" s="34">
        <f t="shared" si="1"/>
        <v>4.054545454545456</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0.26363636363636356</v>
      </c>
      <c r="K5" s="42">
        <f>COUNTIF(Vertices[Betweenness Centrality],"&gt;= "&amp;J5)-COUNTIF(Vertices[Betweenness Centrality],"&gt;="&amp;J6)</f>
        <v>0</v>
      </c>
      <c r="L5" s="41">
        <f t="shared" si="5"/>
        <v>0.16848516363636362</v>
      </c>
      <c r="M5" s="42">
        <f>COUNTIF(Vertices[Closeness Centrality],"&gt;= "&amp;L5)-COUNTIF(Vertices[Closeness Centrality],"&gt;="&amp;L6)</f>
        <v>0</v>
      </c>
      <c r="N5" s="41">
        <f t="shared" si="6"/>
        <v>0.15852332727272725</v>
      </c>
      <c r="O5" s="42">
        <f>COUNTIF(Vertices[Eigenvector Centrality],"&gt;= "&amp;N5)-COUNTIF(Vertices[Eigenvector Centrality],"&gt;="&amp;N6)</f>
        <v>0</v>
      </c>
      <c r="P5" s="41">
        <f t="shared" si="7"/>
        <v>0.943266781818182</v>
      </c>
      <c r="Q5" s="42">
        <f>COUNTIF(Vertices[PageRank],"&gt;= "&amp;P5)-COUNTIF(Vertices[PageRank],"&gt;="&amp;P6)</f>
        <v>0</v>
      </c>
      <c r="R5" s="41">
        <f t="shared" si="8"/>
        <v>0.8018181818181819</v>
      </c>
      <c r="S5" s="46">
        <f>COUNTIF(Vertices[Clustering Coefficient],"&gt;= "&amp;R5)-COUNTIF(Vertices[Clustering Coefficient],"&gt;="&amp;R6)</f>
        <v>0</v>
      </c>
      <c r="T5" s="41" t="e">
        <f ca="1" t="shared" si="9"/>
        <v>#REF!</v>
      </c>
      <c r="U5" s="42" t="e">
        <f ca="1" t="shared" si="0"/>
        <v>#REF!</v>
      </c>
    </row>
    <row r="6" spans="1:21" ht="15">
      <c r="A6" s="36" t="s">
        <v>149</v>
      </c>
      <c r="B6" s="36">
        <v>12</v>
      </c>
      <c r="D6" s="34">
        <f t="shared" si="1"/>
        <v>4.072727272727274</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0.2681818181818181</v>
      </c>
      <c r="K6" s="40">
        <f>COUNTIF(Vertices[Betweenness Centrality],"&gt;= "&amp;J6)-COUNTIF(Vertices[Betweenness Centrality],"&gt;="&amp;J7)</f>
        <v>0</v>
      </c>
      <c r="L6" s="39">
        <f t="shared" si="5"/>
        <v>0.16909121818181816</v>
      </c>
      <c r="M6" s="40">
        <f>COUNTIF(Vertices[Closeness Centrality],"&gt;= "&amp;L6)-COUNTIF(Vertices[Closeness Centrality],"&gt;="&amp;L7)</f>
        <v>0</v>
      </c>
      <c r="N6" s="39">
        <f t="shared" si="6"/>
        <v>0.15905443636363634</v>
      </c>
      <c r="O6" s="40">
        <f>COUNTIF(Vertices[Eigenvector Centrality],"&gt;= "&amp;N6)-COUNTIF(Vertices[Eigenvector Centrality],"&gt;="&amp;N7)</f>
        <v>0</v>
      </c>
      <c r="P6" s="39">
        <f t="shared" si="7"/>
        <v>0.9469607090909093</v>
      </c>
      <c r="Q6" s="40">
        <f>COUNTIF(Vertices[PageRank],"&gt;= "&amp;P6)-COUNTIF(Vertices[PageRank],"&gt;="&amp;P7)</f>
        <v>0</v>
      </c>
      <c r="R6" s="39">
        <f t="shared" si="8"/>
        <v>0.8024242424242425</v>
      </c>
      <c r="S6" s="45">
        <f>COUNTIF(Vertices[Clustering Coefficient],"&gt;= "&amp;R6)-COUNTIF(Vertices[Clustering Coefficient],"&gt;="&amp;R7)</f>
        <v>0</v>
      </c>
      <c r="T6" s="39" t="e">
        <f ca="1" t="shared" si="9"/>
        <v>#REF!</v>
      </c>
      <c r="U6" s="40" t="e">
        <f ca="1" t="shared" si="0"/>
        <v>#REF!</v>
      </c>
    </row>
    <row r="7" spans="1:21" ht="15">
      <c r="A7" s="36" t="s">
        <v>150</v>
      </c>
      <c r="B7" s="36">
        <v>2</v>
      </c>
      <c r="D7" s="34">
        <f t="shared" si="1"/>
        <v>4.090909090909093</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0.2727272727272726</v>
      </c>
      <c r="K7" s="42">
        <f>COUNTIF(Vertices[Betweenness Centrality],"&gt;= "&amp;J7)-COUNTIF(Vertices[Betweenness Centrality],"&gt;="&amp;J8)</f>
        <v>0</v>
      </c>
      <c r="L7" s="41">
        <f t="shared" si="5"/>
        <v>0.1696972727272727</v>
      </c>
      <c r="M7" s="42">
        <f>COUNTIF(Vertices[Closeness Centrality],"&gt;= "&amp;L7)-COUNTIF(Vertices[Closeness Centrality],"&gt;="&amp;L8)</f>
        <v>0</v>
      </c>
      <c r="N7" s="41">
        <f t="shared" si="6"/>
        <v>0.15958554545454542</v>
      </c>
      <c r="O7" s="42">
        <f>COUNTIF(Vertices[Eigenvector Centrality],"&gt;= "&amp;N7)-COUNTIF(Vertices[Eigenvector Centrality],"&gt;="&amp;N8)</f>
        <v>0</v>
      </c>
      <c r="P7" s="41">
        <f t="shared" si="7"/>
        <v>0.9506546363636367</v>
      </c>
      <c r="Q7" s="42">
        <f>COUNTIF(Vertices[PageRank],"&gt;= "&amp;P7)-COUNTIF(Vertices[PageRank],"&gt;="&amp;P8)</f>
        <v>0</v>
      </c>
      <c r="R7" s="41">
        <f t="shared" si="8"/>
        <v>0.8030303030303031</v>
      </c>
      <c r="S7" s="46">
        <f>COUNTIF(Vertices[Clustering Coefficient],"&gt;= "&amp;R7)-COUNTIF(Vertices[Clustering Coefficient],"&gt;="&amp;R8)</f>
        <v>0</v>
      </c>
      <c r="T7" s="41" t="e">
        <f ca="1" t="shared" si="9"/>
        <v>#REF!</v>
      </c>
      <c r="U7" s="42" t="e">
        <f ca="1" t="shared" si="0"/>
        <v>#REF!</v>
      </c>
    </row>
    <row r="8" spans="1:21" ht="15">
      <c r="A8" s="36" t="s">
        <v>151</v>
      </c>
      <c r="B8" s="36">
        <v>14</v>
      </c>
      <c r="D8" s="34">
        <f t="shared" si="1"/>
        <v>4.109090909090911</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0.2772727272727271</v>
      </c>
      <c r="K8" s="40">
        <f>COUNTIF(Vertices[Betweenness Centrality],"&gt;= "&amp;J8)-COUNTIF(Vertices[Betweenness Centrality],"&gt;="&amp;J9)</f>
        <v>0</v>
      </c>
      <c r="L8" s="39">
        <f t="shared" si="5"/>
        <v>0.17030332727272723</v>
      </c>
      <c r="M8" s="40">
        <f>COUNTIF(Vertices[Closeness Centrality],"&gt;= "&amp;L8)-COUNTIF(Vertices[Closeness Centrality],"&gt;="&amp;L9)</f>
        <v>0</v>
      </c>
      <c r="N8" s="39">
        <f t="shared" si="6"/>
        <v>0.1601166545454545</v>
      </c>
      <c r="O8" s="40">
        <f>COUNTIF(Vertices[Eigenvector Centrality],"&gt;= "&amp;N8)-COUNTIF(Vertices[Eigenvector Centrality],"&gt;="&amp;N9)</f>
        <v>0</v>
      </c>
      <c r="P8" s="39">
        <f t="shared" si="7"/>
        <v>0.954348563636364</v>
      </c>
      <c r="Q8" s="40">
        <f>COUNTIF(Vertices[PageRank],"&gt;= "&amp;P8)-COUNTIF(Vertices[PageRank],"&gt;="&amp;P9)</f>
        <v>0</v>
      </c>
      <c r="R8" s="39">
        <f t="shared" si="8"/>
        <v>0.8036363636363637</v>
      </c>
      <c r="S8" s="45">
        <f>COUNTIF(Vertices[Clustering Coefficient],"&gt;= "&amp;R8)-COUNTIF(Vertices[Clustering Coefficient],"&gt;="&amp;R9)</f>
        <v>0</v>
      </c>
      <c r="T8" s="39" t="e">
        <f ca="1" t="shared" si="9"/>
        <v>#REF!</v>
      </c>
      <c r="U8" s="40" t="e">
        <f ca="1" t="shared" si="0"/>
        <v>#REF!</v>
      </c>
    </row>
    <row r="9" spans="1:21" ht="15">
      <c r="A9" s="119"/>
      <c r="B9" s="119"/>
      <c r="D9" s="34">
        <f t="shared" si="1"/>
        <v>4.12727272727273</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0.28181818181818163</v>
      </c>
      <c r="K9" s="42">
        <f>COUNTIF(Vertices[Betweenness Centrality],"&gt;= "&amp;J9)-COUNTIF(Vertices[Betweenness Centrality],"&gt;="&amp;J10)</f>
        <v>0</v>
      </c>
      <c r="L9" s="41">
        <f t="shared" si="5"/>
        <v>0.17090938181818177</v>
      </c>
      <c r="M9" s="42">
        <f>COUNTIF(Vertices[Closeness Centrality],"&gt;= "&amp;L9)-COUNTIF(Vertices[Closeness Centrality],"&gt;="&amp;L10)</f>
        <v>0</v>
      </c>
      <c r="N9" s="41">
        <f t="shared" si="6"/>
        <v>0.1606477636363636</v>
      </c>
      <c r="O9" s="42">
        <f>COUNTIF(Vertices[Eigenvector Centrality],"&gt;= "&amp;N9)-COUNTIF(Vertices[Eigenvector Centrality],"&gt;="&amp;N10)</f>
        <v>0</v>
      </c>
      <c r="P9" s="41">
        <f t="shared" si="7"/>
        <v>0.9580424909090913</v>
      </c>
      <c r="Q9" s="42">
        <f>COUNTIF(Vertices[PageRank],"&gt;= "&amp;P9)-COUNTIF(Vertices[PageRank],"&gt;="&amp;P10)</f>
        <v>0</v>
      </c>
      <c r="R9" s="41">
        <f t="shared" si="8"/>
        <v>0.8042424242424243</v>
      </c>
      <c r="S9" s="46">
        <f>COUNTIF(Vertices[Clustering Coefficient],"&gt;= "&amp;R9)-COUNTIF(Vertices[Clustering Coefficient],"&gt;="&amp;R10)</f>
        <v>0</v>
      </c>
      <c r="T9" s="41" t="e">
        <f ca="1" t="shared" si="9"/>
        <v>#REF!</v>
      </c>
      <c r="U9" s="42" t="e">
        <f ca="1" t="shared" si="0"/>
        <v>#REF!</v>
      </c>
    </row>
    <row r="10" spans="1:21" ht="15">
      <c r="A10" s="36" t="s">
        <v>152</v>
      </c>
      <c r="B10" s="36">
        <v>0</v>
      </c>
      <c r="D10" s="34">
        <f t="shared" si="1"/>
        <v>4.145454545454548</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0.28636363636363615</v>
      </c>
      <c r="K10" s="40">
        <f>COUNTIF(Vertices[Betweenness Centrality],"&gt;= "&amp;J10)-COUNTIF(Vertices[Betweenness Centrality],"&gt;="&amp;J11)</f>
        <v>0</v>
      </c>
      <c r="L10" s="39">
        <f t="shared" si="5"/>
        <v>0.1715154363636363</v>
      </c>
      <c r="M10" s="40">
        <f>COUNTIF(Vertices[Closeness Centrality],"&gt;= "&amp;L10)-COUNTIF(Vertices[Closeness Centrality],"&gt;="&amp;L11)</f>
        <v>0</v>
      </c>
      <c r="N10" s="39">
        <f t="shared" si="6"/>
        <v>0.1611788727272727</v>
      </c>
      <c r="O10" s="40">
        <f>COUNTIF(Vertices[Eigenvector Centrality],"&gt;= "&amp;N10)-COUNTIF(Vertices[Eigenvector Centrality],"&gt;="&amp;N11)</f>
        <v>0</v>
      </c>
      <c r="P10" s="39">
        <f t="shared" si="7"/>
        <v>0.9617364181818187</v>
      </c>
      <c r="Q10" s="40">
        <f>COUNTIF(Vertices[PageRank],"&gt;= "&amp;P10)-COUNTIF(Vertices[PageRank],"&gt;="&amp;P11)</f>
        <v>0</v>
      </c>
      <c r="R10" s="39">
        <f t="shared" si="8"/>
        <v>0.8048484848484849</v>
      </c>
      <c r="S10" s="45">
        <f>COUNTIF(Vertices[Clustering Coefficient],"&gt;= "&amp;R10)-COUNTIF(Vertices[Clustering Coefficient],"&gt;="&amp;R11)</f>
        <v>0</v>
      </c>
      <c r="T10" s="39" t="e">
        <f ca="1" t="shared" si="9"/>
        <v>#REF!</v>
      </c>
      <c r="U10" s="40" t="e">
        <f ca="1" t="shared" si="0"/>
        <v>#REF!</v>
      </c>
    </row>
    <row r="11" spans="1:21" ht="15">
      <c r="A11" s="119"/>
      <c r="B11" s="119"/>
      <c r="D11" s="34">
        <f t="shared" si="1"/>
        <v>4.163636363636367</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0.2909090909090907</v>
      </c>
      <c r="K11" s="42">
        <f>COUNTIF(Vertices[Betweenness Centrality],"&gt;= "&amp;J11)-COUNTIF(Vertices[Betweenness Centrality],"&gt;="&amp;J12)</f>
        <v>0</v>
      </c>
      <c r="L11" s="41">
        <f t="shared" si="5"/>
        <v>0.17212149090909085</v>
      </c>
      <c r="M11" s="42">
        <f>COUNTIF(Vertices[Closeness Centrality],"&gt;= "&amp;L11)-COUNTIF(Vertices[Closeness Centrality],"&gt;="&amp;L12)</f>
        <v>0</v>
      </c>
      <c r="N11" s="41">
        <f t="shared" si="6"/>
        <v>0.16170998181818177</v>
      </c>
      <c r="O11" s="42">
        <f>COUNTIF(Vertices[Eigenvector Centrality],"&gt;= "&amp;N11)-COUNTIF(Vertices[Eigenvector Centrality],"&gt;="&amp;N12)</f>
        <v>0</v>
      </c>
      <c r="P11" s="41">
        <f t="shared" si="7"/>
        <v>0.965430345454546</v>
      </c>
      <c r="Q11" s="42">
        <f>COUNTIF(Vertices[PageRank],"&gt;= "&amp;P11)-COUNTIF(Vertices[PageRank],"&gt;="&amp;P12)</f>
        <v>0</v>
      </c>
      <c r="R11" s="41">
        <f t="shared" si="8"/>
        <v>0.8054545454545455</v>
      </c>
      <c r="S11" s="46">
        <f>COUNTIF(Vertices[Clustering Coefficient],"&gt;= "&amp;R11)-COUNTIF(Vertices[Clustering Coefficient],"&gt;="&amp;R12)</f>
        <v>0</v>
      </c>
      <c r="T11" s="41" t="e">
        <f ca="1" t="shared" si="9"/>
        <v>#REF!</v>
      </c>
      <c r="U11" s="42" t="e">
        <f ca="1" t="shared" si="0"/>
        <v>#REF!</v>
      </c>
    </row>
    <row r="12" spans="1:21" ht="15">
      <c r="A12" s="36" t="s">
        <v>171</v>
      </c>
      <c r="B12" s="36" t="s">
        <v>218</v>
      </c>
      <c r="D12" s="34">
        <f t="shared" si="1"/>
        <v>4.181818181818185</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0.2954545454545452</v>
      </c>
      <c r="K12" s="40">
        <f>COUNTIF(Vertices[Betweenness Centrality],"&gt;= "&amp;J12)-COUNTIF(Vertices[Betweenness Centrality],"&gt;="&amp;J13)</f>
        <v>0</v>
      </c>
      <c r="L12" s="39">
        <f t="shared" si="5"/>
        <v>0.17272754545454538</v>
      </c>
      <c r="M12" s="40">
        <f>COUNTIF(Vertices[Closeness Centrality],"&gt;= "&amp;L12)-COUNTIF(Vertices[Closeness Centrality],"&gt;="&amp;L13)</f>
        <v>0</v>
      </c>
      <c r="N12" s="39">
        <f t="shared" si="6"/>
        <v>0.16224109090909086</v>
      </c>
      <c r="O12" s="40">
        <f>COUNTIF(Vertices[Eigenvector Centrality],"&gt;= "&amp;N12)-COUNTIF(Vertices[Eigenvector Centrality],"&gt;="&amp;N13)</f>
        <v>0</v>
      </c>
      <c r="P12" s="39">
        <f t="shared" si="7"/>
        <v>0.9691242727272733</v>
      </c>
      <c r="Q12" s="40">
        <f>COUNTIF(Vertices[PageRank],"&gt;= "&amp;P12)-COUNTIF(Vertices[PageRank],"&gt;="&amp;P13)</f>
        <v>0</v>
      </c>
      <c r="R12" s="39">
        <f t="shared" si="8"/>
        <v>0.8060606060606061</v>
      </c>
      <c r="S12" s="45">
        <f>COUNTIF(Vertices[Clustering Coefficient],"&gt;= "&amp;R12)-COUNTIF(Vertices[Clustering Coefficient],"&gt;="&amp;R13)</f>
        <v>0</v>
      </c>
      <c r="T12" s="39" t="e">
        <f ca="1" t="shared" si="9"/>
        <v>#REF!</v>
      </c>
      <c r="U12" s="40" t="e">
        <f ca="1" t="shared" si="0"/>
        <v>#REF!</v>
      </c>
    </row>
    <row r="13" spans="1:21" ht="15">
      <c r="A13" s="36" t="s">
        <v>172</v>
      </c>
      <c r="B13" s="36" t="s">
        <v>218</v>
      </c>
      <c r="D13" s="34">
        <f t="shared" si="1"/>
        <v>4.200000000000004</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0.2999999999999997</v>
      </c>
      <c r="K13" s="42">
        <f>COUNTIF(Vertices[Betweenness Centrality],"&gt;= "&amp;J13)-COUNTIF(Vertices[Betweenness Centrality],"&gt;="&amp;J14)</f>
        <v>0</v>
      </c>
      <c r="L13" s="41">
        <f t="shared" si="5"/>
        <v>0.17333359999999992</v>
      </c>
      <c r="M13" s="42">
        <f>COUNTIF(Vertices[Closeness Centrality],"&gt;= "&amp;L13)-COUNTIF(Vertices[Closeness Centrality],"&gt;="&amp;L14)</f>
        <v>0</v>
      </c>
      <c r="N13" s="41">
        <f t="shared" si="6"/>
        <v>0.16277219999999995</v>
      </c>
      <c r="O13" s="42">
        <f>COUNTIF(Vertices[Eigenvector Centrality],"&gt;= "&amp;N13)-COUNTIF(Vertices[Eigenvector Centrality],"&gt;="&amp;N14)</f>
        <v>0</v>
      </c>
      <c r="P13" s="41">
        <f t="shared" si="7"/>
        <v>0.9728182000000006</v>
      </c>
      <c r="Q13" s="42">
        <f>COUNTIF(Vertices[PageRank],"&gt;= "&amp;P13)-COUNTIF(Vertices[PageRank],"&gt;="&amp;P14)</f>
        <v>0</v>
      </c>
      <c r="R13" s="41">
        <f t="shared" si="8"/>
        <v>0.8066666666666668</v>
      </c>
      <c r="S13" s="46">
        <f>COUNTIF(Vertices[Clustering Coefficient],"&gt;= "&amp;R13)-COUNTIF(Vertices[Clustering Coefficient],"&gt;="&amp;R14)</f>
        <v>0</v>
      </c>
      <c r="T13" s="41" t="e">
        <f ca="1" t="shared" si="9"/>
        <v>#REF!</v>
      </c>
      <c r="U13" s="42" t="e">
        <f ca="1" t="shared" si="0"/>
        <v>#REF!</v>
      </c>
    </row>
    <row r="14" spans="1:21" ht="15">
      <c r="A14" s="119"/>
      <c r="B14" s="119"/>
      <c r="D14" s="34">
        <f t="shared" si="1"/>
        <v>4.218181818181822</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0.30454545454545423</v>
      </c>
      <c r="K14" s="40">
        <f>COUNTIF(Vertices[Betweenness Centrality],"&gt;= "&amp;J14)-COUNTIF(Vertices[Betweenness Centrality],"&gt;="&amp;J15)</f>
        <v>0</v>
      </c>
      <c r="L14" s="39">
        <f t="shared" si="5"/>
        <v>0.17393965454545446</v>
      </c>
      <c r="M14" s="40">
        <f>COUNTIF(Vertices[Closeness Centrality],"&gt;= "&amp;L14)-COUNTIF(Vertices[Closeness Centrality],"&gt;="&amp;L15)</f>
        <v>0</v>
      </c>
      <c r="N14" s="39">
        <f t="shared" si="6"/>
        <v>0.16330330909090904</v>
      </c>
      <c r="O14" s="40">
        <f>COUNTIF(Vertices[Eigenvector Centrality],"&gt;= "&amp;N14)-COUNTIF(Vertices[Eigenvector Centrality],"&gt;="&amp;N15)</f>
        <v>0</v>
      </c>
      <c r="P14" s="39">
        <f t="shared" si="7"/>
        <v>0.976512127272728</v>
      </c>
      <c r="Q14" s="40">
        <f>COUNTIF(Vertices[PageRank],"&gt;= "&amp;P14)-COUNTIF(Vertices[PageRank],"&gt;="&amp;P15)</f>
        <v>0</v>
      </c>
      <c r="R14" s="39">
        <f t="shared" si="8"/>
        <v>0.8072727272727274</v>
      </c>
      <c r="S14" s="45">
        <f>COUNTIF(Vertices[Clustering Coefficient],"&gt;= "&amp;R14)-COUNTIF(Vertices[Clustering Coefficient],"&gt;="&amp;R15)</f>
        <v>0</v>
      </c>
      <c r="T14" s="39" t="e">
        <f ca="1" t="shared" si="9"/>
        <v>#REF!</v>
      </c>
      <c r="U14" s="40" t="e">
        <f ca="1" t="shared" si="0"/>
        <v>#REF!</v>
      </c>
    </row>
    <row r="15" spans="1:21" ht="15">
      <c r="A15" s="36" t="s">
        <v>153</v>
      </c>
      <c r="B15" s="36">
        <v>1</v>
      </c>
      <c r="D15" s="34">
        <f t="shared" si="1"/>
        <v>4.236363636363641</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0.30909090909090875</v>
      </c>
      <c r="K15" s="42">
        <f>COUNTIF(Vertices[Betweenness Centrality],"&gt;= "&amp;J15)-COUNTIF(Vertices[Betweenness Centrality],"&gt;="&amp;J16)</f>
        <v>0</v>
      </c>
      <c r="L15" s="41">
        <f t="shared" si="5"/>
        <v>0.174545709090909</v>
      </c>
      <c r="M15" s="42">
        <f>COUNTIF(Vertices[Closeness Centrality],"&gt;= "&amp;L15)-COUNTIF(Vertices[Closeness Centrality],"&gt;="&amp;L16)</f>
        <v>0</v>
      </c>
      <c r="N15" s="41">
        <f t="shared" si="6"/>
        <v>0.16383441818181813</v>
      </c>
      <c r="O15" s="42">
        <f>COUNTIF(Vertices[Eigenvector Centrality],"&gt;= "&amp;N15)-COUNTIF(Vertices[Eigenvector Centrality],"&gt;="&amp;N16)</f>
        <v>0</v>
      </c>
      <c r="P15" s="41">
        <f t="shared" si="7"/>
        <v>0.9802060545454553</v>
      </c>
      <c r="Q15" s="42">
        <f>COUNTIF(Vertices[PageRank],"&gt;= "&amp;P15)-COUNTIF(Vertices[PageRank],"&gt;="&amp;P16)</f>
        <v>0</v>
      </c>
      <c r="R15" s="41">
        <f t="shared" si="8"/>
        <v>0.807878787878788</v>
      </c>
      <c r="S15" s="46">
        <f>COUNTIF(Vertices[Clustering Coefficient],"&gt;= "&amp;R15)-COUNTIF(Vertices[Clustering Coefficient],"&gt;="&amp;R16)</f>
        <v>0</v>
      </c>
      <c r="T15" s="41" t="e">
        <f ca="1" t="shared" si="9"/>
        <v>#REF!</v>
      </c>
      <c r="U15" s="42" t="e">
        <f ca="1" t="shared" si="0"/>
        <v>#REF!</v>
      </c>
    </row>
    <row r="16" spans="1:21" ht="15">
      <c r="A16" s="36" t="s">
        <v>154</v>
      </c>
      <c r="B16" s="36">
        <v>0</v>
      </c>
      <c r="D16" s="34">
        <f t="shared" si="1"/>
        <v>4.254545454545459</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0.31363636363636327</v>
      </c>
      <c r="K16" s="40">
        <f>COUNTIF(Vertices[Betweenness Centrality],"&gt;= "&amp;J16)-COUNTIF(Vertices[Betweenness Centrality],"&gt;="&amp;J17)</f>
        <v>0</v>
      </c>
      <c r="L16" s="39">
        <f t="shared" si="5"/>
        <v>0.17515176363636353</v>
      </c>
      <c r="M16" s="40">
        <f>COUNTIF(Vertices[Closeness Centrality],"&gt;= "&amp;L16)-COUNTIF(Vertices[Closeness Centrality],"&gt;="&amp;L17)</f>
        <v>0</v>
      </c>
      <c r="N16" s="39">
        <f t="shared" si="6"/>
        <v>0.1643655272727272</v>
      </c>
      <c r="O16" s="40">
        <f>COUNTIF(Vertices[Eigenvector Centrality],"&gt;= "&amp;N16)-COUNTIF(Vertices[Eigenvector Centrality],"&gt;="&amp;N17)</f>
        <v>0</v>
      </c>
      <c r="P16" s="39">
        <f t="shared" si="7"/>
        <v>0.9838999818181826</v>
      </c>
      <c r="Q16" s="40">
        <f>COUNTIF(Vertices[PageRank],"&gt;= "&amp;P16)-COUNTIF(Vertices[PageRank],"&gt;="&amp;P17)</f>
        <v>0</v>
      </c>
      <c r="R16" s="39">
        <f t="shared" si="8"/>
        <v>0.8084848484848486</v>
      </c>
      <c r="S16" s="45">
        <f>COUNTIF(Vertices[Clustering Coefficient],"&gt;= "&amp;R16)-COUNTIF(Vertices[Clustering Coefficient],"&gt;="&amp;R17)</f>
        <v>0</v>
      </c>
      <c r="T16" s="39" t="e">
        <f ca="1" t="shared" si="9"/>
        <v>#REF!</v>
      </c>
      <c r="U16" s="40" t="e">
        <f ca="1" t="shared" si="0"/>
        <v>#REF!</v>
      </c>
    </row>
    <row r="17" spans="1:21" ht="15">
      <c r="A17" s="36" t="s">
        <v>155</v>
      </c>
      <c r="B17" s="36">
        <v>6</v>
      </c>
      <c r="D17" s="34">
        <f t="shared" si="1"/>
        <v>4.272727272727278</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0.3181818181818178</v>
      </c>
      <c r="K17" s="42">
        <f>COUNTIF(Vertices[Betweenness Centrality],"&gt;= "&amp;J17)-COUNTIF(Vertices[Betweenness Centrality],"&gt;="&amp;J18)</f>
        <v>0</v>
      </c>
      <c r="L17" s="41">
        <f t="shared" si="5"/>
        <v>0.17575781818181807</v>
      </c>
      <c r="M17" s="42">
        <f>COUNTIF(Vertices[Closeness Centrality],"&gt;= "&amp;L17)-COUNTIF(Vertices[Closeness Centrality],"&gt;="&amp;L18)</f>
        <v>0</v>
      </c>
      <c r="N17" s="41">
        <f t="shared" si="6"/>
        <v>0.1648966363636363</v>
      </c>
      <c r="O17" s="42">
        <f>COUNTIF(Vertices[Eigenvector Centrality],"&gt;= "&amp;N17)-COUNTIF(Vertices[Eigenvector Centrality],"&gt;="&amp;N18)</f>
        <v>0</v>
      </c>
      <c r="P17" s="41">
        <f t="shared" si="7"/>
        <v>0.9875939090909099</v>
      </c>
      <c r="Q17" s="42">
        <f>COUNTIF(Vertices[PageRank],"&gt;= "&amp;P17)-COUNTIF(Vertices[PageRank],"&gt;="&amp;P18)</f>
        <v>0</v>
      </c>
      <c r="R17" s="41">
        <f t="shared" si="8"/>
        <v>0.8090909090909092</v>
      </c>
      <c r="S17" s="46">
        <f>COUNTIF(Vertices[Clustering Coefficient],"&gt;= "&amp;R17)-COUNTIF(Vertices[Clustering Coefficient],"&gt;="&amp;R18)</f>
        <v>0</v>
      </c>
      <c r="T17" s="41" t="e">
        <f ca="1" t="shared" si="9"/>
        <v>#REF!</v>
      </c>
      <c r="U17" s="42" t="e">
        <f ca="1" t="shared" si="0"/>
        <v>#REF!</v>
      </c>
    </row>
    <row r="18" spans="1:21" ht="15">
      <c r="A18" s="36" t="s">
        <v>156</v>
      </c>
      <c r="B18" s="36">
        <v>14</v>
      </c>
      <c r="D18" s="34">
        <f t="shared" si="1"/>
        <v>4.290909090909096</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0.3227272727272723</v>
      </c>
      <c r="K18" s="40">
        <f>COUNTIF(Vertices[Betweenness Centrality],"&gt;= "&amp;J18)-COUNTIF(Vertices[Betweenness Centrality],"&gt;="&amp;J19)</f>
        <v>0</v>
      </c>
      <c r="L18" s="39">
        <f t="shared" si="5"/>
        <v>0.1763638727272726</v>
      </c>
      <c r="M18" s="40">
        <f>COUNTIF(Vertices[Closeness Centrality],"&gt;= "&amp;L18)-COUNTIF(Vertices[Closeness Centrality],"&gt;="&amp;L19)</f>
        <v>0</v>
      </c>
      <c r="N18" s="39">
        <f t="shared" si="6"/>
        <v>0.1654277454545454</v>
      </c>
      <c r="O18" s="40">
        <f>COUNTIF(Vertices[Eigenvector Centrality],"&gt;= "&amp;N18)-COUNTIF(Vertices[Eigenvector Centrality],"&gt;="&amp;N19)</f>
        <v>0</v>
      </c>
      <c r="P18" s="39">
        <f t="shared" si="7"/>
        <v>0.9912878363636373</v>
      </c>
      <c r="Q18" s="40">
        <f>COUNTIF(Vertices[PageRank],"&gt;= "&amp;P18)-COUNTIF(Vertices[PageRank],"&gt;="&amp;P19)</f>
        <v>0</v>
      </c>
      <c r="R18" s="39">
        <f t="shared" si="8"/>
        <v>0.8096969696969698</v>
      </c>
      <c r="S18" s="45">
        <f>COUNTIF(Vertices[Clustering Coefficient],"&gt;= "&amp;R18)-COUNTIF(Vertices[Clustering Coefficient],"&gt;="&amp;R19)</f>
        <v>0</v>
      </c>
      <c r="T18" s="39" t="e">
        <f ca="1" t="shared" si="9"/>
        <v>#REF!</v>
      </c>
      <c r="U18" s="40" t="e">
        <f ca="1" t="shared" si="0"/>
        <v>#REF!</v>
      </c>
    </row>
    <row r="19" spans="1:21" ht="15">
      <c r="A19" s="119"/>
      <c r="B19" s="119"/>
      <c r="D19" s="34">
        <f t="shared" si="1"/>
        <v>4.309090909090915</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0.3272727272727268</v>
      </c>
      <c r="K19" s="42">
        <f>COUNTIF(Vertices[Betweenness Centrality],"&gt;= "&amp;J19)-COUNTIF(Vertices[Betweenness Centrality],"&gt;="&amp;J20)</f>
        <v>0</v>
      </c>
      <c r="L19" s="41">
        <f t="shared" si="5"/>
        <v>0.17696992727272715</v>
      </c>
      <c r="M19" s="42">
        <f>COUNTIF(Vertices[Closeness Centrality],"&gt;= "&amp;L19)-COUNTIF(Vertices[Closeness Centrality],"&gt;="&amp;L20)</f>
        <v>0</v>
      </c>
      <c r="N19" s="41">
        <f t="shared" si="6"/>
        <v>0.16595885454545448</v>
      </c>
      <c r="O19" s="42">
        <f>COUNTIF(Vertices[Eigenvector Centrality],"&gt;= "&amp;N19)-COUNTIF(Vertices[Eigenvector Centrality],"&gt;="&amp;N20)</f>
        <v>0</v>
      </c>
      <c r="P19" s="41">
        <f t="shared" si="7"/>
        <v>0.9949817636363646</v>
      </c>
      <c r="Q19" s="42">
        <f>COUNTIF(Vertices[PageRank],"&gt;= "&amp;P19)-COUNTIF(Vertices[PageRank],"&gt;="&amp;P20)</f>
        <v>0</v>
      </c>
      <c r="R19" s="41">
        <f t="shared" si="8"/>
        <v>0.8103030303030304</v>
      </c>
      <c r="S19" s="46">
        <f>COUNTIF(Vertices[Clustering Coefficient],"&gt;= "&amp;R19)-COUNTIF(Vertices[Clustering Coefficient],"&gt;="&amp;R20)</f>
        <v>0</v>
      </c>
      <c r="T19" s="41" t="e">
        <f ca="1" t="shared" si="9"/>
        <v>#REF!</v>
      </c>
      <c r="U19" s="42" t="e">
        <f ca="1" t="shared" si="0"/>
        <v>#REF!</v>
      </c>
    </row>
    <row r="20" spans="1:21" ht="15">
      <c r="A20" s="36" t="s">
        <v>157</v>
      </c>
      <c r="B20" s="36">
        <v>2</v>
      </c>
      <c r="D20" s="34">
        <f t="shared" si="1"/>
        <v>4.327272727272733</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0.33181818181818135</v>
      </c>
      <c r="K20" s="40">
        <f>COUNTIF(Vertices[Betweenness Centrality],"&gt;= "&amp;J20)-COUNTIF(Vertices[Betweenness Centrality],"&gt;="&amp;J21)</f>
        <v>0</v>
      </c>
      <c r="L20" s="39">
        <f t="shared" si="5"/>
        <v>0.17757598181818168</v>
      </c>
      <c r="M20" s="40">
        <f>COUNTIF(Vertices[Closeness Centrality],"&gt;= "&amp;L20)-COUNTIF(Vertices[Closeness Centrality],"&gt;="&amp;L21)</f>
        <v>0</v>
      </c>
      <c r="N20" s="39">
        <f t="shared" si="6"/>
        <v>0.16648996363636356</v>
      </c>
      <c r="O20" s="40">
        <f>COUNTIF(Vertices[Eigenvector Centrality],"&gt;= "&amp;N20)-COUNTIF(Vertices[Eigenvector Centrality],"&gt;="&amp;N21)</f>
        <v>0</v>
      </c>
      <c r="P20" s="39">
        <f t="shared" si="7"/>
        <v>0.9986756909090919</v>
      </c>
      <c r="Q20" s="40">
        <f>COUNTIF(Vertices[PageRank],"&gt;= "&amp;P20)-COUNTIF(Vertices[PageRank],"&gt;="&amp;P21)</f>
        <v>0</v>
      </c>
      <c r="R20" s="39">
        <f t="shared" si="8"/>
        <v>0.810909090909091</v>
      </c>
      <c r="S20" s="45">
        <f>COUNTIF(Vertices[Clustering Coefficient],"&gt;= "&amp;R20)-COUNTIF(Vertices[Clustering Coefficient],"&gt;="&amp;R21)</f>
        <v>0</v>
      </c>
      <c r="T20" s="39" t="e">
        <f ca="1" t="shared" si="9"/>
        <v>#REF!</v>
      </c>
      <c r="U20" s="40" t="e">
        <f ca="1" t="shared" si="0"/>
        <v>#REF!</v>
      </c>
    </row>
    <row r="21" spans="1:21" ht="15">
      <c r="A21" s="36" t="s">
        <v>158</v>
      </c>
      <c r="B21" s="36">
        <v>0.944444</v>
      </c>
      <c r="D21" s="34">
        <f t="shared" si="1"/>
        <v>4.345454545454552</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0.33636363636363587</v>
      </c>
      <c r="K21" s="42">
        <f>COUNTIF(Vertices[Betweenness Centrality],"&gt;= "&amp;J21)-COUNTIF(Vertices[Betweenness Centrality],"&gt;="&amp;J22)</f>
        <v>0</v>
      </c>
      <c r="L21" s="41">
        <f t="shared" si="5"/>
        <v>0.17818203636363622</v>
      </c>
      <c r="M21" s="42">
        <f>COUNTIF(Vertices[Closeness Centrality],"&gt;= "&amp;L21)-COUNTIF(Vertices[Closeness Centrality],"&gt;="&amp;L22)</f>
        <v>0</v>
      </c>
      <c r="N21" s="41">
        <f t="shared" si="6"/>
        <v>0.16702107272727265</v>
      </c>
      <c r="O21" s="42">
        <f>COUNTIF(Vertices[Eigenvector Centrality],"&gt;= "&amp;N21)-COUNTIF(Vertices[Eigenvector Centrality],"&gt;="&amp;N22)</f>
        <v>0</v>
      </c>
      <c r="P21" s="41">
        <f t="shared" si="7"/>
        <v>1.0023696181818191</v>
      </c>
      <c r="Q21" s="42">
        <f>COUNTIF(Vertices[PageRank],"&gt;= "&amp;P21)-COUNTIF(Vertices[PageRank],"&gt;="&amp;P22)</f>
        <v>0</v>
      </c>
      <c r="R21" s="41">
        <f t="shared" si="8"/>
        <v>0.8115151515151516</v>
      </c>
      <c r="S21" s="46">
        <f>COUNTIF(Vertices[Clustering Coefficient],"&gt;= "&amp;R21)-COUNTIF(Vertices[Clustering Coefficient],"&gt;="&amp;R22)</f>
        <v>0</v>
      </c>
      <c r="T21" s="41" t="e">
        <f ca="1" t="shared" si="9"/>
        <v>#REF!</v>
      </c>
      <c r="U21" s="42" t="e">
        <f ca="1" t="shared" si="0"/>
        <v>#REF!</v>
      </c>
    </row>
    <row r="22" spans="1:21" ht="15">
      <c r="A22" s="119"/>
      <c r="B22" s="119"/>
      <c r="D22" s="34">
        <f t="shared" si="1"/>
        <v>4.36363636363637</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0.3409090909090904</v>
      </c>
      <c r="K22" s="40">
        <f>COUNTIF(Vertices[Betweenness Centrality],"&gt;= "&amp;J22)-COUNTIF(Vertices[Betweenness Centrality],"&gt;="&amp;J23)</f>
        <v>0</v>
      </c>
      <c r="L22" s="39">
        <f t="shared" si="5"/>
        <v>0.17878809090909076</v>
      </c>
      <c r="M22" s="40">
        <f>COUNTIF(Vertices[Closeness Centrality],"&gt;= "&amp;L22)-COUNTIF(Vertices[Closeness Centrality],"&gt;="&amp;L23)</f>
        <v>0</v>
      </c>
      <c r="N22" s="39">
        <f t="shared" si="6"/>
        <v>0.16755218181818174</v>
      </c>
      <c r="O22" s="40">
        <f>COUNTIF(Vertices[Eigenvector Centrality],"&gt;= "&amp;N22)-COUNTIF(Vertices[Eigenvector Centrality],"&gt;="&amp;N23)</f>
        <v>0</v>
      </c>
      <c r="P22" s="39">
        <f t="shared" si="7"/>
        <v>1.0060635454545463</v>
      </c>
      <c r="Q22" s="40">
        <f>COUNTIF(Vertices[PageRank],"&gt;= "&amp;P22)-COUNTIF(Vertices[PageRank],"&gt;="&amp;P23)</f>
        <v>0</v>
      </c>
      <c r="R22" s="39">
        <f t="shared" si="8"/>
        <v>0.8121212121212122</v>
      </c>
      <c r="S22" s="45">
        <f>COUNTIF(Vertices[Clustering Coefficient],"&gt;= "&amp;R22)-COUNTIF(Vertices[Clustering Coefficient],"&gt;="&amp;R23)</f>
        <v>0</v>
      </c>
      <c r="T22" s="39" t="e">
        <f ca="1" t="shared" si="9"/>
        <v>#REF!</v>
      </c>
      <c r="U22" s="40" t="e">
        <f ca="1" t="shared" si="0"/>
        <v>#REF!</v>
      </c>
    </row>
    <row r="23" spans="1:21" ht="15">
      <c r="A23" s="36" t="s">
        <v>159</v>
      </c>
      <c r="B23" s="36">
        <v>0.8666666666666667</v>
      </c>
      <c r="D23" s="34">
        <f t="shared" si="1"/>
        <v>4.381818181818189</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0.3454545454545449</v>
      </c>
      <c r="K23" s="42">
        <f>COUNTIF(Vertices[Betweenness Centrality],"&gt;= "&amp;J23)-COUNTIF(Vertices[Betweenness Centrality],"&gt;="&amp;J24)</f>
        <v>0</v>
      </c>
      <c r="L23" s="41">
        <f t="shared" si="5"/>
        <v>0.1793941454545453</v>
      </c>
      <c r="M23" s="42">
        <f>COUNTIF(Vertices[Closeness Centrality],"&gt;= "&amp;L23)-COUNTIF(Vertices[Closeness Centrality],"&gt;="&amp;L24)</f>
        <v>0</v>
      </c>
      <c r="N23" s="41">
        <f t="shared" si="6"/>
        <v>0.16808329090909083</v>
      </c>
      <c r="O23" s="42">
        <f>COUNTIF(Vertices[Eigenvector Centrality],"&gt;= "&amp;N23)-COUNTIF(Vertices[Eigenvector Centrality],"&gt;="&amp;N24)</f>
        <v>0</v>
      </c>
      <c r="P23" s="41">
        <f t="shared" si="7"/>
        <v>1.0097574727272736</v>
      </c>
      <c r="Q23" s="42">
        <f>COUNTIF(Vertices[PageRank],"&gt;= "&amp;P23)-COUNTIF(Vertices[PageRank],"&gt;="&amp;P24)</f>
        <v>0</v>
      </c>
      <c r="R23" s="41">
        <f t="shared" si="8"/>
        <v>0.8127272727272729</v>
      </c>
      <c r="S23" s="46">
        <f>COUNTIF(Vertices[Clustering Coefficient],"&gt;= "&amp;R23)-COUNTIF(Vertices[Clustering Coefficient],"&gt;="&amp;R24)</f>
        <v>0</v>
      </c>
      <c r="T23" s="41" t="e">
        <f ca="1" t="shared" si="9"/>
        <v>#REF!</v>
      </c>
      <c r="U23" s="42" t="e">
        <f ca="1" t="shared" si="0"/>
        <v>#REF!</v>
      </c>
    </row>
    <row r="24" spans="1:21" ht="15">
      <c r="A24" s="36" t="s">
        <v>216</v>
      </c>
      <c r="B24" s="36" t="s">
        <v>218</v>
      </c>
      <c r="D24" s="34">
        <f t="shared" si="1"/>
        <v>4.4000000000000075</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0.3499999999999994</v>
      </c>
      <c r="K24" s="40">
        <f>COUNTIF(Vertices[Betweenness Centrality],"&gt;= "&amp;J24)-COUNTIF(Vertices[Betweenness Centrality],"&gt;="&amp;J25)</f>
        <v>0</v>
      </c>
      <c r="L24" s="39">
        <f t="shared" si="5"/>
        <v>0.18000019999999983</v>
      </c>
      <c r="M24" s="40">
        <f>COUNTIF(Vertices[Closeness Centrality],"&gt;= "&amp;L24)-COUNTIF(Vertices[Closeness Centrality],"&gt;="&amp;L25)</f>
        <v>0</v>
      </c>
      <c r="N24" s="39">
        <f t="shared" si="6"/>
        <v>0.16861439999999991</v>
      </c>
      <c r="O24" s="40">
        <f>COUNTIF(Vertices[Eigenvector Centrality],"&gt;= "&amp;N24)-COUNTIF(Vertices[Eigenvector Centrality],"&gt;="&amp;N25)</f>
        <v>0</v>
      </c>
      <c r="P24" s="39">
        <f t="shared" si="7"/>
        <v>1.0134514000000008</v>
      </c>
      <c r="Q24" s="40">
        <f>COUNTIF(Vertices[PageRank],"&gt;= "&amp;P24)-COUNTIF(Vertices[PageRank],"&gt;="&amp;P25)</f>
        <v>0</v>
      </c>
      <c r="R24" s="39">
        <f t="shared" si="8"/>
        <v>0.8133333333333335</v>
      </c>
      <c r="S24" s="45">
        <f>COUNTIF(Vertices[Clustering Coefficient],"&gt;= "&amp;R24)-COUNTIF(Vertices[Clustering Coefficient],"&gt;="&amp;R25)</f>
        <v>0</v>
      </c>
      <c r="T24" s="39" t="e">
        <f ca="1" t="shared" si="9"/>
        <v>#REF!</v>
      </c>
      <c r="U24" s="40" t="e">
        <f ca="1" t="shared" si="0"/>
        <v>#REF!</v>
      </c>
    </row>
    <row r="25" spans="1:21" ht="15">
      <c r="A25" s="119"/>
      <c r="B25" s="119"/>
      <c r="D25" s="34">
        <f t="shared" si="1"/>
        <v>4.418181818181826</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0.35454545454545394</v>
      </c>
      <c r="K25" s="42">
        <f>COUNTIF(Vertices[Betweenness Centrality],"&gt;= "&amp;J25)-COUNTIF(Vertices[Betweenness Centrality],"&gt;="&amp;J26)</f>
        <v>0</v>
      </c>
      <c r="L25" s="41">
        <f t="shared" si="5"/>
        <v>0.18060625454545437</v>
      </c>
      <c r="M25" s="42">
        <f>COUNTIF(Vertices[Closeness Centrality],"&gt;= "&amp;L25)-COUNTIF(Vertices[Closeness Centrality],"&gt;="&amp;L26)</f>
        <v>0</v>
      </c>
      <c r="N25" s="41">
        <f t="shared" si="6"/>
        <v>0.169145509090909</v>
      </c>
      <c r="O25" s="42">
        <f>COUNTIF(Vertices[Eigenvector Centrality],"&gt;= "&amp;N25)-COUNTIF(Vertices[Eigenvector Centrality],"&gt;="&amp;N26)</f>
        <v>0</v>
      </c>
      <c r="P25" s="41">
        <f t="shared" si="7"/>
        <v>1.017145327272728</v>
      </c>
      <c r="Q25" s="42">
        <f>COUNTIF(Vertices[PageRank],"&gt;= "&amp;P25)-COUNTIF(Vertices[PageRank],"&gt;="&amp;P26)</f>
        <v>0</v>
      </c>
      <c r="R25" s="41">
        <f t="shared" si="8"/>
        <v>0.8139393939393941</v>
      </c>
      <c r="S25" s="46">
        <f>COUNTIF(Vertices[Clustering Coefficient],"&gt;= "&amp;R25)-COUNTIF(Vertices[Clustering Coefficient],"&gt;="&amp;R26)</f>
        <v>0</v>
      </c>
      <c r="T25" s="41" t="e">
        <f ca="1" t="shared" si="9"/>
        <v>#REF!</v>
      </c>
      <c r="U25" s="42" t="e">
        <f ca="1" t="shared" si="0"/>
        <v>#REF!</v>
      </c>
    </row>
    <row r="26" spans="1:21" ht="15">
      <c r="A26" s="36" t="s">
        <v>217</v>
      </c>
      <c r="B26" s="36" t="s">
        <v>219</v>
      </c>
      <c r="D26" s="34">
        <f t="shared" si="1"/>
        <v>4.4363636363636445</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0.35909090909090846</v>
      </c>
      <c r="K26" s="40">
        <f>COUNTIF(Vertices[Betweenness Centrality],"&gt;= "&amp;J26)-COUNTIF(Vertices[Betweenness Centrality],"&gt;="&amp;J28)</f>
        <v>0</v>
      </c>
      <c r="L26" s="39">
        <f t="shared" si="5"/>
        <v>0.1812123090909089</v>
      </c>
      <c r="M26" s="40">
        <f>COUNTIF(Vertices[Closeness Centrality],"&gt;= "&amp;L26)-COUNTIF(Vertices[Closeness Centrality],"&gt;="&amp;L28)</f>
        <v>0</v>
      </c>
      <c r="N26" s="39">
        <f t="shared" si="6"/>
        <v>0.1696766181818181</v>
      </c>
      <c r="O26" s="40">
        <f>COUNTIF(Vertices[Eigenvector Centrality],"&gt;= "&amp;N26)-COUNTIF(Vertices[Eigenvector Centrality],"&gt;="&amp;N28)</f>
        <v>0</v>
      </c>
      <c r="P26" s="39">
        <f t="shared" si="7"/>
        <v>1.0208392545454552</v>
      </c>
      <c r="Q26" s="40">
        <f>COUNTIF(Vertices[PageRank],"&gt;= "&amp;P26)-COUNTIF(Vertices[PageRank],"&gt;="&amp;P28)</f>
        <v>0</v>
      </c>
      <c r="R26" s="39">
        <f t="shared" si="8"/>
        <v>0.8145454545454547</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-2</v>
      </c>
      <c r="F27" s="79"/>
      <c r="G27" s="80">
        <f>COUNTIF(Vertices[In-Degree],"&gt;= "&amp;F27)-COUNTIF(Vertices[In-Degree],"&gt;="&amp;F28)</f>
        <v>0</v>
      </c>
      <c r="H27" s="79"/>
      <c r="I27" s="80">
        <f>COUNTIF(Vertices[Out-Degree],"&gt;= "&amp;H27)-COUNTIF(Vertices[Out-Degree],"&gt;="&amp;H28)</f>
        <v>0</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4:21" ht="15">
      <c r="D28" s="34">
        <f>D26+($D$57-$D$2)/BinDivisor</f>
        <v>4.454545454545463</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0.363636363636363</v>
      </c>
      <c r="K28" s="42">
        <f>COUNTIF(Vertices[Betweenness Centrality],"&gt;= "&amp;J28)-COUNTIF(Vertices[Betweenness Centrality],"&gt;="&amp;J40)</f>
        <v>0</v>
      </c>
      <c r="L28" s="41">
        <f>L26+($L$57-$L$2)/BinDivisor</f>
        <v>0.18181836363636344</v>
      </c>
      <c r="M28" s="42">
        <f>COUNTIF(Vertices[Closeness Centrality],"&gt;= "&amp;L28)-COUNTIF(Vertices[Closeness Centrality],"&gt;="&amp;L40)</f>
        <v>0</v>
      </c>
      <c r="N28" s="41">
        <f>N26+($N$57-$N$2)/BinDivisor</f>
        <v>0.17020772727272718</v>
      </c>
      <c r="O28" s="42">
        <f>COUNTIF(Vertices[Eigenvector Centrality],"&gt;= "&amp;N28)-COUNTIF(Vertices[Eigenvector Centrality],"&gt;="&amp;N40)</f>
        <v>0</v>
      </c>
      <c r="P28" s="41">
        <f>P26+($P$57-$P$2)/BinDivisor</f>
        <v>1.0245331818181824</v>
      </c>
      <c r="Q28" s="42">
        <f>COUNTIF(Vertices[PageRank],"&gt;= "&amp;P28)-COUNTIF(Vertices[PageRank],"&gt;="&amp;P40)</f>
        <v>0</v>
      </c>
      <c r="R28" s="41">
        <f>R26+($R$57-$R$2)/BinDivisor</f>
        <v>0.8151515151515153</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-2</v>
      </c>
      <c r="F38" s="79"/>
      <c r="G38" s="80">
        <f>COUNTIF(Vertices[In-Degree],"&gt;= "&amp;F38)-COUNTIF(Vertices[In-Degree],"&gt;="&amp;F40)</f>
        <v>0</v>
      </c>
      <c r="H38" s="79"/>
      <c r="I38" s="80">
        <f>COUNTIF(Vertices[Out-Degree],"&gt;= "&amp;H38)-COUNTIF(Vertices[Out-Degree],"&gt;="&amp;H40)</f>
        <v>0</v>
      </c>
      <c r="J38" s="79"/>
      <c r="K38" s="80">
        <f>COUNTIF(Vertices[Betweenness Centrality],"&gt;= "&amp;J38)-COUNTIF(Vertices[Betweenness Centrality],"&gt;="&amp;J40)</f>
        <v>-2</v>
      </c>
      <c r="L38" s="79"/>
      <c r="M38" s="80">
        <f>COUNTIF(Vertices[Closeness Centrality],"&gt;= "&amp;L38)-COUNTIF(Vertices[Closeness Centrality],"&gt;="&amp;L40)</f>
        <v>-2</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-2</v>
      </c>
      <c r="F39" s="79"/>
      <c r="G39" s="80">
        <f>COUNTIF(Vertices[In-Degree],"&gt;= "&amp;F39)-COUNTIF(Vertices[In-Degree],"&gt;="&amp;F40)</f>
        <v>0</v>
      </c>
      <c r="H39" s="79"/>
      <c r="I39" s="80">
        <f>COUNTIF(Vertices[Out-Degree],"&gt;= "&amp;H39)-COUNTIF(Vertices[Out-Degree],"&gt;="&amp;H40)</f>
        <v>0</v>
      </c>
      <c r="J39" s="79"/>
      <c r="K39" s="80">
        <f>COUNTIF(Vertices[Betweenness Centrality],"&gt;= "&amp;J39)-COUNTIF(Vertices[Betweenness Centrality],"&gt;="&amp;J40)</f>
        <v>-2</v>
      </c>
      <c r="L39" s="79"/>
      <c r="M39" s="80">
        <f>COUNTIF(Vertices[Closeness Centrality],"&gt;= "&amp;L39)-COUNTIF(Vertices[Closeness Centrality],"&gt;="&amp;L40)</f>
        <v>-2</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4.4727272727272815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0.3681818181818175</v>
      </c>
      <c r="K40" s="40">
        <f>COUNTIF(Vertices[Betweenness Centrality],"&gt;= "&amp;J40)-COUNTIF(Vertices[Betweenness Centrality],"&gt;="&amp;J41)</f>
        <v>0</v>
      </c>
      <c r="L40" s="39">
        <f>L28+($L$57-$L$2)/BinDivisor</f>
        <v>0.18242441818181798</v>
      </c>
      <c r="M40" s="40">
        <f>COUNTIF(Vertices[Closeness Centrality],"&gt;= "&amp;L40)-COUNTIF(Vertices[Closeness Centrality],"&gt;="&amp;L41)</f>
        <v>0</v>
      </c>
      <c r="N40" s="39">
        <f>N28+($N$57-$N$2)/BinDivisor</f>
        <v>0.17073883636363626</v>
      </c>
      <c r="O40" s="40">
        <f>COUNTIF(Vertices[Eigenvector Centrality],"&gt;= "&amp;N40)-COUNTIF(Vertices[Eigenvector Centrality],"&gt;="&amp;N41)</f>
        <v>0</v>
      </c>
      <c r="P40" s="39">
        <f>P28+($P$57-$P$2)/BinDivisor</f>
        <v>1.0282271090909096</v>
      </c>
      <c r="Q40" s="40">
        <f>COUNTIF(Vertices[PageRank],"&gt;= "&amp;P40)-COUNTIF(Vertices[PageRank],"&gt;="&amp;P41)</f>
        <v>0</v>
      </c>
      <c r="R40" s="39">
        <f>R28+($R$57-$R$2)/BinDivisor</f>
        <v>0.8157575757575759</v>
      </c>
      <c r="S40" s="45">
        <f>COUNTIF(Vertices[Clustering Coefficient],"&gt;= "&amp;R40)-COUNTIF(Vertices[Clustering Coefficient],"&gt;="&amp;R41)</f>
        <v>0</v>
      </c>
      <c r="T40" s="39" t="e">
        <f ca="1">T28+($T$57-$T$2)/BinDivisor</f>
        <v>#REF!</v>
      </c>
      <c r="U40" s="40" t="e">
        <f ca="1" t="shared" si="0"/>
        <v>#REF!</v>
      </c>
    </row>
    <row r="41" spans="1:21" ht="15">
      <c r="A41" t="s">
        <v>164</v>
      </c>
      <c r="B41" t="s">
        <v>17</v>
      </c>
      <c r="D41" s="34">
        <f aca="true" t="shared" si="10" ref="D41:D56">D40+($D$57-$D$2)/BinDivisor</f>
        <v>4.4909090909091</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0.372727272727272</v>
      </c>
      <c r="K41" s="42">
        <f>COUNTIF(Vertices[Betweenness Centrality],"&gt;= "&amp;J41)-COUNTIF(Vertices[Betweenness Centrality],"&gt;="&amp;J42)</f>
        <v>0</v>
      </c>
      <c r="L41" s="41">
        <f aca="true" t="shared" si="14" ref="L41:L56">L40+($L$57-$L$2)/BinDivisor</f>
        <v>0.18303047272727252</v>
      </c>
      <c r="M41" s="42">
        <f>COUNTIF(Vertices[Closeness Centrality],"&gt;= "&amp;L41)-COUNTIF(Vertices[Closeness Centrality],"&gt;="&amp;L42)</f>
        <v>0</v>
      </c>
      <c r="N41" s="41">
        <f aca="true" t="shared" si="15" ref="N41:N56">N40+($N$57-$N$2)/BinDivisor</f>
        <v>0.17126994545454535</v>
      </c>
      <c r="O41" s="42">
        <f>COUNTIF(Vertices[Eigenvector Centrality],"&gt;= "&amp;N41)-COUNTIF(Vertices[Eigenvector Centrality],"&gt;="&amp;N42)</f>
        <v>0</v>
      </c>
      <c r="P41" s="41">
        <f aca="true" t="shared" si="16" ref="P41:P56">P40+($P$57-$P$2)/BinDivisor</f>
        <v>1.0319210363636369</v>
      </c>
      <c r="Q41" s="42">
        <f>COUNTIF(Vertices[PageRank],"&gt;= "&amp;P41)-COUNTIF(Vertices[PageRank],"&gt;="&amp;P42)</f>
        <v>0</v>
      </c>
      <c r="R41" s="41">
        <f aca="true" t="shared" si="17" ref="R41:R56">R40+($R$57-$R$2)/BinDivisor</f>
        <v>0.8163636363636365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4.509090909090919</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0.37727272727272654</v>
      </c>
      <c r="K42" s="40">
        <f>COUNTIF(Vertices[Betweenness Centrality],"&gt;= "&amp;J42)-COUNTIF(Vertices[Betweenness Centrality],"&gt;="&amp;J43)</f>
        <v>0</v>
      </c>
      <c r="L42" s="39">
        <f t="shared" si="14"/>
        <v>0.18363652727272706</v>
      </c>
      <c r="M42" s="40">
        <f>COUNTIF(Vertices[Closeness Centrality],"&gt;= "&amp;L42)-COUNTIF(Vertices[Closeness Centrality],"&gt;="&amp;L43)</f>
        <v>0</v>
      </c>
      <c r="N42" s="39">
        <f t="shared" si="15"/>
        <v>0.17180105454545444</v>
      </c>
      <c r="O42" s="40">
        <f>COUNTIF(Vertices[Eigenvector Centrality],"&gt;= "&amp;N42)-COUNTIF(Vertices[Eigenvector Centrality],"&gt;="&amp;N43)</f>
        <v>0</v>
      </c>
      <c r="P42" s="39">
        <f t="shared" si="16"/>
        <v>1.035614963636364</v>
      </c>
      <c r="Q42" s="40">
        <f>COUNTIF(Vertices[PageRank],"&gt;= "&amp;P42)-COUNTIF(Vertices[PageRank],"&gt;="&amp;P43)</f>
        <v>0</v>
      </c>
      <c r="R42" s="39">
        <f t="shared" si="17"/>
        <v>0.8169696969696971</v>
      </c>
      <c r="S42" s="45">
        <f>COUNTIF(Vertices[Clustering Coefficient],"&gt;= "&amp;R42)-COUNTIF(Vertices[Clustering Coefficient],"&gt;="&amp;R43)</f>
        <v>0</v>
      </c>
      <c r="T42" s="39" t="e">
        <f ca="1" t="shared" si="18"/>
        <v>#REF!</v>
      </c>
      <c r="U42" s="40" t="e">
        <f ca="1" t="shared" si="0"/>
        <v>#REF!</v>
      </c>
    </row>
    <row r="43" spans="1:21" ht="15">
      <c r="A43" s="35"/>
      <c r="B43" s="35"/>
      <c r="D43" s="34">
        <f t="shared" si="10"/>
        <v>4.527272727272737</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0.38181818181818106</v>
      </c>
      <c r="K43" s="42">
        <f>COUNTIF(Vertices[Betweenness Centrality],"&gt;= "&amp;J43)-COUNTIF(Vertices[Betweenness Centrality],"&gt;="&amp;J44)</f>
        <v>0</v>
      </c>
      <c r="L43" s="41">
        <f t="shared" si="14"/>
        <v>0.1842425818181816</v>
      </c>
      <c r="M43" s="42">
        <f>COUNTIF(Vertices[Closeness Centrality],"&gt;= "&amp;L43)-COUNTIF(Vertices[Closeness Centrality],"&gt;="&amp;L44)</f>
        <v>0</v>
      </c>
      <c r="N43" s="41">
        <f t="shared" si="15"/>
        <v>0.17233216363636353</v>
      </c>
      <c r="O43" s="42">
        <f>COUNTIF(Vertices[Eigenvector Centrality],"&gt;= "&amp;N43)-COUNTIF(Vertices[Eigenvector Centrality],"&gt;="&amp;N44)</f>
        <v>0</v>
      </c>
      <c r="P43" s="41">
        <f t="shared" si="16"/>
        <v>1.0393088909090913</v>
      </c>
      <c r="Q43" s="42">
        <f>COUNTIF(Vertices[PageRank],"&gt;= "&amp;P43)-COUNTIF(Vertices[PageRank],"&gt;="&amp;P44)</f>
        <v>0</v>
      </c>
      <c r="R43" s="41">
        <f t="shared" si="17"/>
        <v>0.8175757575757577</v>
      </c>
      <c r="S43" s="46">
        <f>COUNTIF(Vertices[Clustering Coefficient],"&gt;= "&amp;R43)-COUNTIF(Vertices[Clustering Coefficient],"&gt;="&amp;R44)</f>
        <v>0</v>
      </c>
      <c r="T43" s="41" t="e">
        <f ca="1" t="shared" si="18"/>
        <v>#REF!</v>
      </c>
      <c r="U43" s="42" t="e">
        <f ca="1" t="shared" si="0"/>
        <v>#REF!</v>
      </c>
    </row>
    <row r="44" spans="1:21" ht="15">
      <c r="A44" s="35"/>
      <c r="B44" s="35"/>
      <c r="D44" s="34">
        <f t="shared" si="10"/>
        <v>4.545454545454556</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0.3863636363636356</v>
      </c>
      <c r="K44" s="40">
        <f>COUNTIF(Vertices[Betweenness Centrality],"&gt;= "&amp;J44)-COUNTIF(Vertices[Betweenness Centrality],"&gt;="&amp;J45)</f>
        <v>0</v>
      </c>
      <c r="L44" s="39">
        <f t="shared" si="14"/>
        <v>0.18484863636363613</v>
      </c>
      <c r="M44" s="40">
        <f>COUNTIF(Vertices[Closeness Centrality],"&gt;= "&amp;L44)-COUNTIF(Vertices[Closeness Centrality],"&gt;="&amp;L45)</f>
        <v>0</v>
      </c>
      <c r="N44" s="39">
        <f t="shared" si="15"/>
        <v>0.17286327272727262</v>
      </c>
      <c r="O44" s="40">
        <f>COUNTIF(Vertices[Eigenvector Centrality],"&gt;= "&amp;N44)-COUNTIF(Vertices[Eigenvector Centrality],"&gt;="&amp;N45)</f>
        <v>0</v>
      </c>
      <c r="P44" s="39">
        <f t="shared" si="16"/>
        <v>1.0430028181818185</v>
      </c>
      <c r="Q44" s="40">
        <f>COUNTIF(Vertices[PageRank],"&gt;= "&amp;P44)-COUNTIF(Vertices[PageRank],"&gt;="&amp;P45)</f>
        <v>0</v>
      </c>
      <c r="R44" s="39">
        <f t="shared" si="17"/>
        <v>0.8181818181818183</v>
      </c>
      <c r="S44" s="45">
        <f>COUNTIF(Vertices[Clustering Coefficient],"&gt;= "&amp;R44)-COUNTIF(Vertices[Clustering Coefficient],"&gt;="&amp;R45)</f>
        <v>0</v>
      </c>
      <c r="T44" s="39" t="e">
        <f ca="1" t="shared" si="18"/>
        <v>#REF!</v>
      </c>
      <c r="U44" s="40" t="e">
        <f ca="1" t="shared" si="0"/>
        <v>#REF!</v>
      </c>
    </row>
    <row r="45" spans="4:21" ht="15">
      <c r="D45" s="34">
        <f t="shared" si="10"/>
        <v>4.563636363636374</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0.3909090909090901</v>
      </c>
      <c r="K45" s="42">
        <f>COUNTIF(Vertices[Betweenness Centrality],"&gt;= "&amp;J45)-COUNTIF(Vertices[Betweenness Centrality],"&gt;="&amp;J46)</f>
        <v>0</v>
      </c>
      <c r="L45" s="41">
        <f t="shared" si="14"/>
        <v>0.18545469090909067</v>
      </c>
      <c r="M45" s="42">
        <f>COUNTIF(Vertices[Closeness Centrality],"&gt;= "&amp;L45)-COUNTIF(Vertices[Closeness Centrality],"&gt;="&amp;L46)</f>
        <v>0</v>
      </c>
      <c r="N45" s="41">
        <f t="shared" si="15"/>
        <v>0.1733943818181817</v>
      </c>
      <c r="O45" s="42">
        <f>COUNTIF(Vertices[Eigenvector Centrality],"&gt;= "&amp;N45)-COUNTIF(Vertices[Eigenvector Centrality],"&gt;="&amp;N46)</f>
        <v>0</v>
      </c>
      <c r="P45" s="41">
        <f t="shared" si="16"/>
        <v>1.0466967454545457</v>
      </c>
      <c r="Q45" s="42">
        <f>COUNTIF(Vertices[PageRank],"&gt;= "&amp;P45)-COUNTIF(Vertices[PageRank],"&gt;="&amp;P46)</f>
        <v>0</v>
      </c>
      <c r="R45" s="41">
        <f t="shared" si="17"/>
        <v>0.818787878787879</v>
      </c>
      <c r="S45" s="46">
        <f>COUNTIF(Vertices[Clustering Coefficient],"&gt;= "&amp;R45)-COUNTIF(Vertices[Clustering Coefficient],"&gt;="&amp;R46)</f>
        <v>0</v>
      </c>
      <c r="T45" s="41" t="e">
        <f ca="1" t="shared" si="18"/>
        <v>#REF!</v>
      </c>
      <c r="U45" s="42" t="e">
        <f ca="1" t="shared" si="0"/>
        <v>#REF!</v>
      </c>
    </row>
    <row r="46" spans="4:21" ht="15">
      <c r="D46" s="34">
        <f t="shared" si="10"/>
        <v>4.581818181818193</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0.3954545454545446</v>
      </c>
      <c r="K46" s="40">
        <f>COUNTIF(Vertices[Betweenness Centrality],"&gt;= "&amp;J46)-COUNTIF(Vertices[Betweenness Centrality],"&gt;="&amp;J47)</f>
        <v>0</v>
      </c>
      <c r="L46" s="39">
        <f t="shared" si="14"/>
        <v>0.1860607454545452</v>
      </c>
      <c r="M46" s="40">
        <f>COUNTIF(Vertices[Closeness Centrality],"&gt;= "&amp;L46)-COUNTIF(Vertices[Closeness Centrality],"&gt;="&amp;L47)</f>
        <v>0</v>
      </c>
      <c r="N46" s="39">
        <f t="shared" si="15"/>
        <v>0.1739254909090908</v>
      </c>
      <c r="O46" s="40">
        <f>COUNTIF(Vertices[Eigenvector Centrality],"&gt;= "&amp;N46)-COUNTIF(Vertices[Eigenvector Centrality],"&gt;="&amp;N47)</f>
        <v>0</v>
      </c>
      <c r="P46" s="39">
        <f t="shared" si="16"/>
        <v>1.050390672727273</v>
      </c>
      <c r="Q46" s="40">
        <f>COUNTIF(Vertices[PageRank],"&gt;= "&amp;P46)-COUNTIF(Vertices[PageRank],"&gt;="&amp;P47)</f>
        <v>0</v>
      </c>
      <c r="R46" s="39">
        <f t="shared" si="17"/>
        <v>0.8193939393939396</v>
      </c>
      <c r="S46" s="45">
        <f>COUNTIF(Vertices[Clustering Coefficient],"&gt;= "&amp;R46)-COUNTIF(Vertices[Clustering Coefficient],"&gt;="&amp;R47)</f>
        <v>0</v>
      </c>
      <c r="T46" s="39" t="e">
        <f ca="1" t="shared" si="18"/>
        <v>#REF!</v>
      </c>
      <c r="U46" s="40" t="e">
        <f ca="1" t="shared" si="0"/>
        <v>#REF!</v>
      </c>
    </row>
    <row r="47" spans="4:21" ht="15">
      <c r="D47" s="34">
        <f t="shared" si="10"/>
        <v>4.600000000000011</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0.39999999999999913</v>
      </c>
      <c r="K47" s="42">
        <f>COUNTIF(Vertices[Betweenness Centrality],"&gt;= "&amp;J47)-COUNTIF(Vertices[Betweenness Centrality],"&gt;="&amp;J48)</f>
        <v>0</v>
      </c>
      <c r="L47" s="41">
        <f t="shared" si="14"/>
        <v>0.18666679999999974</v>
      </c>
      <c r="M47" s="42">
        <f>COUNTIF(Vertices[Closeness Centrality],"&gt;= "&amp;L47)-COUNTIF(Vertices[Closeness Centrality],"&gt;="&amp;L48)</f>
        <v>0</v>
      </c>
      <c r="N47" s="41">
        <f t="shared" si="15"/>
        <v>0.17445659999999988</v>
      </c>
      <c r="O47" s="42">
        <f>COUNTIF(Vertices[Eigenvector Centrality],"&gt;= "&amp;N47)-COUNTIF(Vertices[Eigenvector Centrality],"&gt;="&amp;N48)</f>
        <v>0</v>
      </c>
      <c r="P47" s="41">
        <f t="shared" si="16"/>
        <v>1.0540846000000001</v>
      </c>
      <c r="Q47" s="42">
        <f>COUNTIF(Vertices[PageRank],"&gt;= "&amp;P47)-COUNTIF(Vertices[PageRank],"&gt;="&amp;P48)</f>
        <v>0</v>
      </c>
      <c r="R47" s="41">
        <f t="shared" si="17"/>
        <v>0.8200000000000002</v>
      </c>
      <c r="S47" s="46">
        <f>COUNTIF(Vertices[Clustering Coefficient],"&gt;= "&amp;R47)-COUNTIF(Vertices[Clustering Coefficient],"&gt;="&amp;R48)</f>
        <v>0</v>
      </c>
      <c r="T47" s="41" t="e">
        <f ca="1" t="shared" si="18"/>
        <v>#REF!</v>
      </c>
      <c r="U47" s="42" t="e">
        <f ca="1" t="shared" si="0"/>
        <v>#REF!</v>
      </c>
    </row>
    <row r="48" spans="4:21" ht="15">
      <c r="D48" s="34">
        <f t="shared" si="10"/>
        <v>4.61818181818183</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0.40454545454545365</v>
      </c>
      <c r="K48" s="40">
        <f>COUNTIF(Vertices[Betweenness Centrality],"&gt;= "&amp;J48)-COUNTIF(Vertices[Betweenness Centrality],"&gt;="&amp;J49)</f>
        <v>0</v>
      </c>
      <c r="L48" s="39">
        <f t="shared" si="14"/>
        <v>0.18727285454545428</v>
      </c>
      <c r="M48" s="40">
        <f>COUNTIF(Vertices[Closeness Centrality],"&gt;= "&amp;L48)-COUNTIF(Vertices[Closeness Centrality],"&gt;="&amp;L49)</f>
        <v>0</v>
      </c>
      <c r="N48" s="39">
        <f t="shared" si="15"/>
        <v>0.17498770909090897</v>
      </c>
      <c r="O48" s="40">
        <f>COUNTIF(Vertices[Eigenvector Centrality],"&gt;= "&amp;N48)-COUNTIF(Vertices[Eigenvector Centrality],"&gt;="&amp;N49)</f>
        <v>0</v>
      </c>
      <c r="P48" s="39">
        <f t="shared" si="16"/>
        <v>1.0577785272727274</v>
      </c>
      <c r="Q48" s="40">
        <f>COUNTIF(Vertices[PageRank],"&gt;= "&amp;P48)-COUNTIF(Vertices[PageRank],"&gt;="&amp;P49)</f>
        <v>0</v>
      </c>
      <c r="R48" s="39">
        <f t="shared" si="17"/>
        <v>0.8206060606060608</v>
      </c>
      <c r="S48" s="45">
        <f>COUNTIF(Vertices[Clustering Coefficient],"&gt;= "&amp;R48)-COUNTIF(Vertices[Clustering Coefficient],"&gt;="&amp;R49)</f>
        <v>0</v>
      </c>
      <c r="T48" s="39" t="e">
        <f ca="1" t="shared" si="18"/>
        <v>#REF!</v>
      </c>
      <c r="U48" s="40" t="e">
        <f ca="1" t="shared" si="0"/>
        <v>#REF!</v>
      </c>
    </row>
    <row r="49" spans="4:21" ht="15">
      <c r="D49" s="34">
        <f t="shared" si="10"/>
        <v>4.636363636363648</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0.4090909090909082</v>
      </c>
      <c r="K49" s="42">
        <f>COUNTIF(Vertices[Betweenness Centrality],"&gt;= "&amp;J49)-COUNTIF(Vertices[Betweenness Centrality],"&gt;="&amp;J50)</f>
        <v>0</v>
      </c>
      <c r="L49" s="41">
        <f t="shared" si="14"/>
        <v>0.18787890909090882</v>
      </c>
      <c r="M49" s="42">
        <f>COUNTIF(Vertices[Closeness Centrality],"&gt;= "&amp;L49)-COUNTIF(Vertices[Closeness Centrality],"&gt;="&amp;L50)</f>
        <v>0</v>
      </c>
      <c r="N49" s="41">
        <f t="shared" si="15"/>
        <v>0.17551881818181805</v>
      </c>
      <c r="O49" s="42">
        <f>COUNTIF(Vertices[Eigenvector Centrality],"&gt;= "&amp;N49)-COUNTIF(Vertices[Eigenvector Centrality],"&gt;="&amp;N50)</f>
        <v>0</v>
      </c>
      <c r="P49" s="41">
        <f t="shared" si="16"/>
        <v>1.0614724545454546</v>
      </c>
      <c r="Q49" s="42">
        <f>COUNTIF(Vertices[PageRank],"&gt;= "&amp;P49)-COUNTIF(Vertices[PageRank],"&gt;="&amp;P50)</f>
        <v>0</v>
      </c>
      <c r="R49" s="41">
        <f t="shared" si="17"/>
        <v>0.8212121212121214</v>
      </c>
      <c r="S49" s="46">
        <f>COUNTIF(Vertices[Clustering Coefficient],"&gt;= "&amp;R49)-COUNTIF(Vertices[Clustering Coefficient],"&gt;="&amp;R50)</f>
        <v>0</v>
      </c>
      <c r="T49" s="41" t="e">
        <f ca="1" t="shared" si="18"/>
        <v>#REF!</v>
      </c>
      <c r="U49" s="42" t="e">
        <f ca="1" t="shared" si="0"/>
        <v>#REF!</v>
      </c>
    </row>
    <row r="50" spans="4:21" ht="15">
      <c r="D50" s="34">
        <f t="shared" si="10"/>
        <v>4.654545454545467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0.4136363636363627</v>
      </c>
      <c r="K50" s="40">
        <f>COUNTIF(Vertices[Betweenness Centrality],"&gt;= "&amp;J50)-COUNTIF(Vertices[Betweenness Centrality],"&gt;="&amp;J51)</f>
        <v>0</v>
      </c>
      <c r="L50" s="39">
        <f t="shared" si="14"/>
        <v>0.18848496363636336</v>
      </c>
      <c r="M50" s="40">
        <f>COUNTIF(Vertices[Closeness Centrality],"&gt;= "&amp;L50)-COUNTIF(Vertices[Closeness Centrality],"&gt;="&amp;L51)</f>
        <v>0</v>
      </c>
      <c r="N50" s="39">
        <f t="shared" si="15"/>
        <v>0.17604992727272714</v>
      </c>
      <c r="O50" s="40">
        <f>COUNTIF(Vertices[Eigenvector Centrality],"&gt;= "&amp;N50)-COUNTIF(Vertices[Eigenvector Centrality],"&gt;="&amp;N51)</f>
        <v>0</v>
      </c>
      <c r="P50" s="39">
        <f t="shared" si="16"/>
        <v>1.0651663818181818</v>
      </c>
      <c r="Q50" s="40">
        <f>COUNTIF(Vertices[PageRank],"&gt;= "&amp;P50)-COUNTIF(Vertices[PageRank],"&gt;="&amp;P51)</f>
        <v>0</v>
      </c>
      <c r="R50" s="39">
        <f t="shared" si="17"/>
        <v>0.821818181818182</v>
      </c>
      <c r="S50" s="45">
        <f>COUNTIF(Vertices[Clustering Coefficient],"&gt;= "&amp;R50)-COUNTIF(Vertices[Clustering Coefficient],"&gt;="&amp;R51)</f>
        <v>0</v>
      </c>
      <c r="T50" s="39" t="e">
        <f ca="1" t="shared" si="18"/>
        <v>#REF!</v>
      </c>
      <c r="U50" s="40" t="e">
        <f ca="1" t="shared" si="0"/>
        <v>#REF!</v>
      </c>
    </row>
    <row r="51" spans="4:21" ht="15">
      <c r="D51" s="34">
        <f t="shared" si="10"/>
        <v>4.672727272727285</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0.4181818181818172</v>
      </c>
      <c r="K51" s="42">
        <f>COUNTIF(Vertices[Betweenness Centrality],"&gt;= "&amp;J51)-COUNTIF(Vertices[Betweenness Centrality],"&gt;="&amp;J52)</f>
        <v>0</v>
      </c>
      <c r="L51" s="41">
        <f t="shared" si="14"/>
        <v>0.1890910181818179</v>
      </c>
      <c r="M51" s="42">
        <f>COUNTIF(Vertices[Closeness Centrality],"&gt;= "&amp;L51)-COUNTIF(Vertices[Closeness Centrality],"&gt;="&amp;L52)</f>
        <v>0</v>
      </c>
      <c r="N51" s="41">
        <f t="shared" si="15"/>
        <v>0.17658103636363623</v>
      </c>
      <c r="O51" s="42">
        <f>COUNTIF(Vertices[Eigenvector Centrality],"&gt;= "&amp;N51)-COUNTIF(Vertices[Eigenvector Centrality],"&gt;="&amp;N52)</f>
        <v>0</v>
      </c>
      <c r="P51" s="41">
        <f t="shared" si="16"/>
        <v>1.068860309090909</v>
      </c>
      <c r="Q51" s="42">
        <f>COUNTIF(Vertices[PageRank],"&gt;= "&amp;P51)-COUNTIF(Vertices[PageRank],"&gt;="&amp;P52)</f>
        <v>0</v>
      </c>
      <c r="R51" s="41">
        <f t="shared" si="17"/>
        <v>0.8224242424242426</v>
      </c>
      <c r="S51" s="46">
        <f>COUNTIF(Vertices[Clustering Coefficient],"&gt;= "&amp;R51)-COUNTIF(Vertices[Clustering Coefficient],"&gt;="&amp;R52)</f>
        <v>0</v>
      </c>
      <c r="T51" s="41" t="e">
        <f ca="1" t="shared" si="18"/>
        <v>#REF!</v>
      </c>
      <c r="U51" s="42" t="e">
        <f ca="1" t="shared" si="0"/>
        <v>#REF!</v>
      </c>
    </row>
    <row r="52" spans="4:21" ht="15">
      <c r="D52" s="34">
        <f t="shared" si="10"/>
        <v>4.690909090909104</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0.42272727272727173</v>
      </c>
      <c r="K52" s="40">
        <f>COUNTIF(Vertices[Betweenness Centrality],"&gt;= "&amp;J52)-COUNTIF(Vertices[Betweenness Centrality],"&gt;="&amp;J53)</f>
        <v>0</v>
      </c>
      <c r="L52" s="39">
        <f t="shared" si="14"/>
        <v>0.18969707272727243</v>
      </c>
      <c r="M52" s="40">
        <f>COUNTIF(Vertices[Closeness Centrality],"&gt;= "&amp;L52)-COUNTIF(Vertices[Closeness Centrality],"&gt;="&amp;L53)</f>
        <v>0</v>
      </c>
      <c r="N52" s="39">
        <f t="shared" si="15"/>
        <v>0.17711214545454532</v>
      </c>
      <c r="O52" s="40">
        <f>COUNTIF(Vertices[Eigenvector Centrality],"&gt;= "&amp;N52)-COUNTIF(Vertices[Eigenvector Centrality],"&gt;="&amp;N53)</f>
        <v>0</v>
      </c>
      <c r="P52" s="39">
        <f t="shared" si="16"/>
        <v>1.0725542363636362</v>
      </c>
      <c r="Q52" s="40">
        <f>COUNTIF(Vertices[PageRank],"&gt;= "&amp;P52)-COUNTIF(Vertices[PageRank],"&gt;="&amp;P53)</f>
        <v>0</v>
      </c>
      <c r="R52" s="39">
        <f t="shared" si="17"/>
        <v>0.8230303030303032</v>
      </c>
      <c r="S52" s="45">
        <f>COUNTIF(Vertices[Clustering Coefficient],"&gt;= "&amp;R52)-COUNTIF(Vertices[Clustering Coefficient],"&gt;="&amp;R53)</f>
        <v>0</v>
      </c>
      <c r="T52" s="39" t="e">
        <f ca="1" t="shared" si="18"/>
        <v>#REF!</v>
      </c>
      <c r="U52" s="40" t="e">
        <f ca="1" t="shared" si="0"/>
        <v>#REF!</v>
      </c>
    </row>
    <row r="53" spans="4:21" ht="15">
      <c r="D53" s="34">
        <f t="shared" si="10"/>
        <v>4.709090909090922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0.42727272727272625</v>
      </c>
      <c r="K53" s="42">
        <f>COUNTIF(Vertices[Betweenness Centrality],"&gt;= "&amp;J53)-COUNTIF(Vertices[Betweenness Centrality],"&gt;="&amp;J54)</f>
        <v>0</v>
      </c>
      <c r="L53" s="41">
        <f t="shared" si="14"/>
        <v>0.19030312727272697</v>
      </c>
      <c r="M53" s="42">
        <f>COUNTIF(Vertices[Closeness Centrality],"&gt;= "&amp;L53)-COUNTIF(Vertices[Closeness Centrality],"&gt;="&amp;L54)</f>
        <v>0</v>
      </c>
      <c r="N53" s="41">
        <f t="shared" si="15"/>
        <v>0.1776432545454544</v>
      </c>
      <c r="O53" s="42">
        <f>COUNTIF(Vertices[Eigenvector Centrality],"&gt;= "&amp;N53)-COUNTIF(Vertices[Eigenvector Centrality],"&gt;="&amp;N54)</f>
        <v>0</v>
      </c>
      <c r="P53" s="41">
        <f t="shared" si="16"/>
        <v>1.0762481636363634</v>
      </c>
      <c r="Q53" s="42">
        <f>COUNTIF(Vertices[PageRank],"&gt;= "&amp;P53)-COUNTIF(Vertices[PageRank],"&gt;="&amp;P54)</f>
        <v>0</v>
      </c>
      <c r="R53" s="41">
        <f t="shared" si="17"/>
        <v>0.8236363636363638</v>
      </c>
      <c r="S53" s="46">
        <f>COUNTIF(Vertices[Clustering Coefficient],"&gt;= "&amp;R53)-COUNTIF(Vertices[Clustering Coefficient],"&gt;="&amp;R54)</f>
        <v>0</v>
      </c>
      <c r="T53" s="41" t="e">
        <f ca="1" t="shared" si="18"/>
        <v>#REF!</v>
      </c>
      <c r="U53" s="42" t="e">
        <f ca="1" t="shared" si="0"/>
        <v>#REF!</v>
      </c>
    </row>
    <row r="54" spans="4:21" ht="15">
      <c r="D54" s="34">
        <f t="shared" si="10"/>
        <v>4.727272727272741</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0.43181818181818077</v>
      </c>
      <c r="K54" s="40">
        <f>COUNTIF(Vertices[Betweenness Centrality],"&gt;= "&amp;J54)-COUNTIF(Vertices[Betweenness Centrality],"&gt;="&amp;J55)</f>
        <v>0</v>
      </c>
      <c r="L54" s="39">
        <f t="shared" si="14"/>
        <v>0.1909091818181815</v>
      </c>
      <c r="M54" s="40">
        <f>COUNTIF(Vertices[Closeness Centrality],"&gt;= "&amp;L54)-COUNTIF(Vertices[Closeness Centrality],"&gt;="&amp;L55)</f>
        <v>0</v>
      </c>
      <c r="N54" s="39">
        <f t="shared" si="15"/>
        <v>0.1781743636363635</v>
      </c>
      <c r="O54" s="40">
        <f>COUNTIF(Vertices[Eigenvector Centrality],"&gt;= "&amp;N54)-COUNTIF(Vertices[Eigenvector Centrality],"&gt;="&amp;N55)</f>
        <v>0</v>
      </c>
      <c r="P54" s="39">
        <f t="shared" si="16"/>
        <v>1.0799420909090907</v>
      </c>
      <c r="Q54" s="40">
        <f>COUNTIF(Vertices[PageRank],"&gt;= "&amp;P54)-COUNTIF(Vertices[PageRank],"&gt;="&amp;P55)</f>
        <v>0</v>
      </c>
      <c r="R54" s="39">
        <f t="shared" si="17"/>
        <v>0.8242424242424244</v>
      </c>
      <c r="S54" s="45">
        <f>COUNTIF(Vertices[Clustering Coefficient],"&gt;= "&amp;R54)-COUNTIF(Vertices[Clustering Coefficient],"&gt;="&amp;R55)</f>
        <v>0</v>
      </c>
      <c r="T54" s="39" t="e">
        <f ca="1" t="shared" si="18"/>
        <v>#REF!</v>
      </c>
      <c r="U54" s="40" t="e">
        <f ca="1" t="shared" si="0"/>
        <v>#REF!</v>
      </c>
    </row>
    <row r="55" spans="1:21" ht="15">
      <c r="A55" s="35" t="s">
        <v>82</v>
      </c>
      <c r="B55" s="48">
        <f>IF(COUNT(Vertices[Degree])&gt;0,D2,NoMetricMessage)</f>
        <v>4</v>
      </c>
      <c r="D55" s="34">
        <f t="shared" si="10"/>
        <v>4.745454545454559</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0.4363636363636353</v>
      </c>
      <c r="K55" s="42">
        <f>COUNTIF(Vertices[Betweenness Centrality],"&gt;= "&amp;J55)-COUNTIF(Vertices[Betweenness Centrality],"&gt;="&amp;J56)</f>
        <v>0</v>
      </c>
      <c r="L55" s="41">
        <f t="shared" si="14"/>
        <v>0.19151523636363604</v>
      </c>
      <c r="M55" s="42">
        <f>COUNTIF(Vertices[Closeness Centrality],"&gt;= "&amp;L55)-COUNTIF(Vertices[Closeness Centrality],"&gt;="&amp;L56)</f>
        <v>0</v>
      </c>
      <c r="N55" s="41">
        <f t="shared" si="15"/>
        <v>0.17870547272727258</v>
      </c>
      <c r="O55" s="42">
        <f>COUNTIF(Vertices[Eigenvector Centrality],"&gt;= "&amp;N55)-COUNTIF(Vertices[Eigenvector Centrality],"&gt;="&amp;N56)</f>
        <v>0</v>
      </c>
      <c r="P55" s="41">
        <f t="shared" si="16"/>
        <v>1.0836360181818179</v>
      </c>
      <c r="Q55" s="42">
        <f>COUNTIF(Vertices[PageRank],"&gt;= "&amp;P55)-COUNTIF(Vertices[PageRank],"&gt;="&amp;P56)</f>
        <v>0</v>
      </c>
      <c r="R55" s="41">
        <f t="shared" si="17"/>
        <v>0.824848484848485</v>
      </c>
      <c r="S55" s="46">
        <f>COUNTIF(Vertices[Clustering Coefficient],"&gt;= "&amp;R55)-COUNTIF(Vertices[Clustering Coefficient],"&gt;="&amp;R56)</f>
        <v>0</v>
      </c>
      <c r="T55" s="41" t="e">
        <f ca="1" t="shared" si="18"/>
        <v>#REF!</v>
      </c>
      <c r="U55" s="42" t="e">
        <f ca="1" t="shared" si="0"/>
        <v>#REF!</v>
      </c>
    </row>
    <row r="56" spans="1:21" ht="15">
      <c r="A56" s="35" t="s">
        <v>83</v>
      </c>
      <c r="B56" s="48">
        <f>IF(COUNT(Vertices[Degree])&gt;0,D57,NoMetricMessage)</f>
        <v>5</v>
      </c>
      <c r="D56" s="34">
        <f t="shared" si="10"/>
        <v>4.763636363636378</v>
      </c>
      <c r="E56" s="3">
        <f>COUNTIF(Vertices[Degree],"&gt;= "&amp;D56)-COUNTIF(Vertices[Degree],"&gt;="&amp;D57)</f>
        <v>0</v>
      </c>
      <c r="F56" s="39">
        <f t="shared" si="11"/>
        <v>0</v>
      </c>
      <c r="G56" s="40">
        <f>COUNTIF(Vertices[In-Degree],"&gt;= "&amp;F56)-COUNTIF(Vertices[In-Degree],"&gt;="&amp;F57)</f>
        <v>0</v>
      </c>
      <c r="H56" s="39">
        <f t="shared" si="12"/>
        <v>0</v>
      </c>
      <c r="I56" s="40">
        <f>COUNTIF(Vertices[Out-Degree],"&gt;= "&amp;H56)-COUNTIF(Vertices[Out-Degree],"&gt;="&amp;H57)</f>
        <v>0</v>
      </c>
      <c r="J56" s="39">
        <f t="shared" si="13"/>
        <v>0.4409090909090898</v>
      </c>
      <c r="K56" s="40">
        <f>COUNTIF(Vertices[Betweenness Centrality],"&gt;= "&amp;J56)-COUNTIF(Vertices[Betweenness Centrality],"&gt;="&amp;J57)</f>
        <v>0</v>
      </c>
      <c r="L56" s="39">
        <f t="shared" si="14"/>
        <v>0.19212129090909058</v>
      </c>
      <c r="M56" s="40">
        <f>COUNTIF(Vertices[Closeness Centrality],"&gt;= "&amp;L56)-COUNTIF(Vertices[Closeness Centrality],"&gt;="&amp;L57)</f>
        <v>0</v>
      </c>
      <c r="N56" s="39">
        <f t="shared" si="15"/>
        <v>0.17923658181818167</v>
      </c>
      <c r="O56" s="40">
        <f>COUNTIF(Vertices[Eigenvector Centrality],"&gt;= "&amp;N56)-COUNTIF(Vertices[Eigenvector Centrality],"&gt;="&amp;N57)</f>
        <v>0</v>
      </c>
      <c r="P56" s="39">
        <f t="shared" si="16"/>
        <v>1.087329945454545</v>
      </c>
      <c r="Q56" s="40">
        <f>COUNTIF(Vertices[PageRank],"&gt;= "&amp;P56)-COUNTIF(Vertices[PageRank],"&gt;="&amp;P57)</f>
        <v>0</v>
      </c>
      <c r="R56" s="39">
        <f t="shared" si="17"/>
        <v>0.8254545454545457</v>
      </c>
      <c r="S56" s="45">
        <f>COUNTIF(Vertices[Clustering Coefficient],"&gt;= "&amp;R56)-COUNTIF(Vertices[Clustering Coefficient],"&gt;="&amp;R57)</f>
        <v>0</v>
      </c>
      <c r="T56" s="39" t="e">
        <f ca="1" t="shared" si="18"/>
        <v>#REF!</v>
      </c>
      <c r="U56" s="40" t="e">
        <f ca="1" t="shared" si="0"/>
        <v>#REF!</v>
      </c>
    </row>
    <row r="57" spans="1:21" ht="15">
      <c r="A57" s="35" t="s">
        <v>84</v>
      </c>
      <c r="B57" s="49">
        <f>_xlfn.IFERROR(AVERAGE(Vertices[Degree]),NoMetricMessage)</f>
        <v>4.333333333333333</v>
      </c>
      <c r="D57" s="34">
        <f>MAX(Vertices[Degree])</f>
        <v>5</v>
      </c>
      <c r="E57" s="3">
        <f>COUNTIF(Vertices[Degree],"&gt;= "&amp;D57)-COUNTIF(Vertices[Degree],"&gt;="&amp;D58)</f>
        <v>2</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0.5</v>
      </c>
      <c r="K57" s="44">
        <f>COUNTIF(Vertices[Betweenness Centrality],"&gt;= "&amp;J57)-COUNTIF(Vertices[Betweenness Centrality],"&gt;="&amp;J58)</f>
        <v>2</v>
      </c>
      <c r="L57" s="43">
        <f>MAX(Vertices[Closeness Centrality])</f>
        <v>0.2</v>
      </c>
      <c r="M57" s="44">
        <f>COUNTIF(Vertices[Closeness Centrality],"&gt;= "&amp;L57)-COUNTIF(Vertices[Closeness Centrality],"&gt;="&amp;L58)</f>
        <v>2</v>
      </c>
      <c r="N57" s="43">
        <f>MAX(Vertices[Eigenvector Centrality])</f>
        <v>0.186141</v>
      </c>
      <c r="O57" s="44">
        <f>COUNTIF(Vertices[Eigenvector Centrality],"&gt;= "&amp;N57)-COUNTIF(Vertices[Eigenvector Centrality],"&gt;="&amp;N58)</f>
        <v>2</v>
      </c>
      <c r="P57" s="43">
        <f>MAX(Vertices[PageRank])</f>
        <v>1.135351</v>
      </c>
      <c r="Q57" s="44">
        <f>COUNTIF(Vertices[PageRank],"&gt;= "&amp;P57)-COUNTIF(Vertices[PageRank],"&gt;="&amp;P58)</f>
        <v>2</v>
      </c>
      <c r="R57" s="43">
        <f>MAX(Vertices[Clustering Coefficient])</f>
        <v>0.8333333333333334</v>
      </c>
      <c r="S57" s="47">
        <f>COUNTIF(Vertices[Clustering Coefficient],"&gt;= "&amp;R57)-COUNTIF(Vertices[Clustering Coefficient],"&gt;="&amp;R58)</f>
        <v>4</v>
      </c>
      <c r="T57" s="43" t="e">
        <f ca="1">MAX(INDIRECT(DynamicFilterSourceColumnRange))</f>
        <v>#REF!</v>
      </c>
      <c r="U57" s="44" t="e">
        <f ca="1" t="shared" si="0"/>
        <v>#REF!</v>
      </c>
    </row>
    <row r="58" spans="1:2" ht="15">
      <c r="A58" s="35" t="s">
        <v>85</v>
      </c>
      <c r="B58" s="49">
        <f>_xlfn.IFERROR(MEDIAN(Vertices[Degree]),NoMetricMessage)</f>
        <v>4</v>
      </c>
    </row>
    <row r="69" spans="1:2" ht="15">
      <c r="A69" s="35" t="s">
        <v>89</v>
      </c>
      <c r="B69" s="48" t="str">
        <f>IF(COUNT(Vertices[In-Degree])&gt;0,F2,NoMetricMessage)</f>
        <v>Not Available</v>
      </c>
    </row>
    <row r="70" spans="1:2" ht="15">
      <c r="A70" s="35" t="s">
        <v>90</v>
      </c>
      <c r="B70" s="48" t="str">
        <f>IF(COUNT(Vertices[In-Degree])&gt;0,F57,NoMetricMessage)</f>
        <v>Not Available</v>
      </c>
    </row>
    <row r="71" spans="1:2" ht="15">
      <c r="A71" s="35" t="s">
        <v>91</v>
      </c>
      <c r="B71" s="49" t="str">
        <f>_xlfn.IFERROR(AVERAGE(Vertices[In-Degree]),NoMetricMessage)</f>
        <v>Not Available</v>
      </c>
    </row>
    <row r="72" spans="1:2" ht="15">
      <c r="A72" s="35" t="s">
        <v>92</v>
      </c>
      <c r="B72" s="49" t="str">
        <f>_xlfn.IFERROR(MEDIAN(Vertices[In-Degree]),NoMetricMessage)</f>
        <v>Not Available</v>
      </c>
    </row>
    <row r="83" spans="1:2" ht="15">
      <c r="A83" s="35" t="s">
        <v>95</v>
      </c>
      <c r="B83" s="48" t="str">
        <f>IF(COUNT(Vertices[Out-Degree])&gt;0,H2,NoMetricMessage)</f>
        <v>Not Available</v>
      </c>
    </row>
    <row r="84" spans="1:2" ht="15">
      <c r="A84" s="35" t="s">
        <v>96</v>
      </c>
      <c r="B84" s="48" t="str">
        <f>IF(COUNT(Vertices[Out-Degree])&gt;0,H57,NoMetricMessage)</f>
        <v>Not Available</v>
      </c>
    </row>
    <row r="85" spans="1:2" ht="15">
      <c r="A85" s="35" t="s">
        <v>97</v>
      </c>
      <c r="B85" s="49" t="str">
        <f>_xlfn.IFERROR(AVERAGE(Vertices[Out-Degree]),NoMetricMessage)</f>
        <v>Not Available</v>
      </c>
    </row>
    <row r="86" spans="1:2" ht="15">
      <c r="A86" s="35" t="s">
        <v>98</v>
      </c>
      <c r="B86" s="49" t="str">
        <f>_xlfn.IFERROR(MEDIAN(Vertices[Out-Degree]),NoMetricMessage)</f>
        <v>Not Available</v>
      </c>
    </row>
    <row r="97" spans="1:2" ht="15">
      <c r="A97" s="35" t="s">
        <v>101</v>
      </c>
      <c r="B97" s="49">
        <f>IF(COUNT(Vertices[Betweenness Centrality])&gt;0,J2,NoMetricMessage)</f>
        <v>0.25</v>
      </c>
    </row>
    <row r="98" spans="1:2" ht="15">
      <c r="A98" s="35" t="s">
        <v>102</v>
      </c>
      <c r="B98" s="49">
        <f>IF(COUNT(Vertices[Betweenness Centrality])&gt;0,J57,NoMetricMessage)</f>
        <v>0.5</v>
      </c>
    </row>
    <row r="99" spans="1:2" ht="15">
      <c r="A99" s="35" t="s">
        <v>103</v>
      </c>
      <c r="B99" s="49">
        <f>_xlfn.IFERROR(AVERAGE(Vertices[Betweenness Centrality]),NoMetricMessage)</f>
        <v>0.3333333333333333</v>
      </c>
    </row>
    <row r="100" spans="1:2" ht="15">
      <c r="A100" s="35" t="s">
        <v>104</v>
      </c>
      <c r="B100" s="49">
        <f>_xlfn.IFERROR(MEDIAN(Vertices[Betweenness Centrality]),NoMetricMessage)</f>
        <v>0.25</v>
      </c>
    </row>
    <row r="111" spans="1:2" ht="15">
      <c r="A111" s="35" t="s">
        <v>107</v>
      </c>
      <c r="B111" s="49">
        <f>IF(COUNT(Vertices[Closeness Centrality])&gt;0,L2,NoMetricMessage)</f>
        <v>0.166667</v>
      </c>
    </row>
    <row r="112" spans="1:2" ht="15">
      <c r="A112" s="35" t="s">
        <v>108</v>
      </c>
      <c r="B112" s="49">
        <f>IF(COUNT(Vertices[Closeness Centrality])&gt;0,L57,NoMetricMessage)</f>
        <v>0.2</v>
      </c>
    </row>
    <row r="113" spans="1:2" ht="15">
      <c r="A113" s="35" t="s">
        <v>109</v>
      </c>
      <c r="B113" s="49">
        <f>_xlfn.IFERROR(AVERAGE(Vertices[Closeness Centrality]),NoMetricMessage)</f>
        <v>0.177778</v>
      </c>
    </row>
    <row r="114" spans="1:2" ht="15">
      <c r="A114" s="35" t="s">
        <v>110</v>
      </c>
      <c r="B114" s="49">
        <f>_xlfn.IFERROR(MEDIAN(Vertices[Closeness Centrality]),NoMetricMessage)</f>
        <v>0.166667</v>
      </c>
    </row>
    <row r="125" spans="1:2" ht="15">
      <c r="A125" s="35" t="s">
        <v>113</v>
      </c>
      <c r="B125" s="49">
        <f>IF(COUNT(Vertices[Eigenvector Centrality])&gt;0,N2,NoMetricMessage)</f>
        <v>0.15693</v>
      </c>
    </row>
    <row r="126" spans="1:2" ht="15">
      <c r="A126" s="35" t="s">
        <v>114</v>
      </c>
      <c r="B126" s="49">
        <f>IF(COUNT(Vertices[Eigenvector Centrality])&gt;0,N57,NoMetricMessage)</f>
        <v>0.186141</v>
      </c>
    </row>
    <row r="127" spans="1:2" ht="15">
      <c r="A127" s="35" t="s">
        <v>115</v>
      </c>
      <c r="B127" s="49">
        <f>_xlfn.IFERROR(AVERAGE(Vertices[Eigenvector Centrality]),NoMetricMessage)</f>
        <v>0.166667</v>
      </c>
    </row>
    <row r="128" spans="1:2" ht="15">
      <c r="A128" s="35" t="s">
        <v>116</v>
      </c>
      <c r="B128" s="49">
        <f>_xlfn.IFERROR(MEDIAN(Vertices[Eigenvector Centrality]),NoMetricMessage)</f>
        <v>0.15693</v>
      </c>
    </row>
    <row r="139" spans="1:2" ht="15">
      <c r="A139" s="35" t="s">
        <v>141</v>
      </c>
      <c r="B139" s="49">
        <f>IF(COUNT(Vertices[PageRank])&gt;0,P2,NoMetricMessage)</f>
        <v>0.932185</v>
      </c>
    </row>
    <row r="140" spans="1:2" ht="15">
      <c r="A140" s="35" t="s">
        <v>142</v>
      </c>
      <c r="B140" s="49">
        <f>IF(COUNT(Vertices[PageRank])&gt;0,P57,NoMetricMessage)</f>
        <v>1.135351</v>
      </c>
    </row>
    <row r="141" spans="1:2" ht="15">
      <c r="A141" s="35" t="s">
        <v>143</v>
      </c>
      <c r="B141" s="49">
        <f>_xlfn.IFERROR(AVERAGE(Vertices[PageRank]),NoMetricMessage)</f>
        <v>0.999907</v>
      </c>
    </row>
    <row r="142" spans="1:2" ht="15">
      <c r="A142" s="35" t="s">
        <v>144</v>
      </c>
      <c r="B142" s="49">
        <f>_xlfn.IFERROR(MEDIAN(Vertices[PageRank]),NoMetricMessage)</f>
        <v>0.932185</v>
      </c>
    </row>
    <row r="153" spans="1:2" ht="15">
      <c r="A153" s="35" t="s">
        <v>119</v>
      </c>
      <c r="B153" s="49">
        <f>IF(COUNT(Vertices[Clustering Coefficient])&gt;0,R2,NoMetricMessage)</f>
        <v>0.8</v>
      </c>
    </row>
    <row r="154" spans="1:2" ht="15">
      <c r="A154" s="35" t="s">
        <v>120</v>
      </c>
      <c r="B154" s="49">
        <f>IF(COUNT(Vertices[Clustering Coefficient])&gt;0,R57,NoMetricMessage)</f>
        <v>0.8333333333333334</v>
      </c>
    </row>
    <row r="155" spans="1:2" ht="15">
      <c r="A155" s="35" t="s">
        <v>121</v>
      </c>
      <c r="B155" s="49">
        <f>_xlfn.IFERROR(AVERAGE(Vertices[Clustering Coefficient]),NoMetricMessage)</f>
        <v>0.8222222222222221</v>
      </c>
    </row>
    <row r="156" spans="1:2" ht="15">
      <c r="A156" s="35" t="s">
        <v>122</v>
      </c>
      <c r="B156" s="49">
        <f>_xlfn.IFERROR(MEDIAN(Vertices[Clustering Coefficient]),NoMetricMessage)</f>
        <v>0.8333333333333334</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243</v>
      </c>
    </row>
    <row r="6" spans="1:18" ht="15">
      <c r="A6">
        <v>0</v>
      </c>
      <c r="B6" s="1" t="s">
        <v>137</v>
      </c>
      <c r="C6">
        <v>1</v>
      </c>
      <c r="D6" t="s">
        <v>60</v>
      </c>
      <c r="E6" t="s">
        <v>60</v>
      </c>
      <c r="F6">
        <v>0</v>
      </c>
      <c r="H6" t="s">
        <v>72</v>
      </c>
      <c r="J6" t="s">
        <v>174</v>
      </c>
      <c r="K6">
        <v>3</v>
      </c>
      <c r="R6" t="s">
        <v>130</v>
      </c>
    </row>
    <row r="7" spans="1:11" ht="15">
      <c r="A7">
        <v>2</v>
      </c>
      <c r="B7">
        <v>1</v>
      </c>
      <c r="C7">
        <v>0</v>
      </c>
      <c r="D7" t="s">
        <v>61</v>
      </c>
      <c r="E7" t="s">
        <v>61</v>
      </c>
      <c r="F7">
        <v>2</v>
      </c>
      <c r="H7" t="s">
        <v>73</v>
      </c>
      <c r="J7" t="s">
        <v>181</v>
      </c>
      <c r="K7" t="s">
        <v>241</v>
      </c>
    </row>
    <row r="8" spans="1:11" ht="15">
      <c r="A8"/>
      <c r="B8">
        <v>2</v>
      </c>
      <c r="C8">
        <v>2</v>
      </c>
      <c r="D8" t="s">
        <v>62</v>
      </c>
      <c r="E8" t="s">
        <v>62</v>
      </c>
      <c r="H8" t="s">
        <v>74</v>
      </c>
      <c r="J8" t="s">
        <v>232</v>
      </c>
      <c r="K8" t="s">
        <v>235</v>
      </c>
    </row>
    <row r="9" spans="1:11" ht="409.5">
      <c r="A9"/>
      <c r="B9">
        <v>3</v>
      </c>
      <c r="C9">
        <v>4</v>
      </c>
      <c r="D9" t="s">
        <v>63</v>
      </c>
      <c r="E9" t="s">
        <v>63</v>
      </c>
      <c r="H9" t="s">
        <v>75</v>
      </c>
      <c r="J9" t="s">
        <v>236</v>
      </c>
      <c r="K9" s="13" t="s">
        <v>244</v>
      </c>
    </row>
    <row r="10" spans="1:11" ht="409.5">
      <c r="A10"/>
      <c r="B10">
        <v>4</v>
      </c>
      <c r="D10" t="s">
        <v>64</v>
      </c>
      <c r="E10" t="s">
        <v>64</v>
      </c>
      <c r="H10" t="s">
        <v>76</v>
      </c>
      <c r="J10" t="s">
        <v>237</v>
      </c>
      <c r="K10" s="13" t="s">
        <v>245</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14" t="s">
        <v>182</v>
      </c>
      <c r="B1" s="114" t="s">
        <v>183</v>
      </c>
    </row>
    <row r="2" spans="1:2" ht="15">
      <c r="A2" s="114"/>
      <c r="B2" s="114"/>
    </row>
    <row r="4" spans="1:2" ht="15" customHeight="1">
      <c r="A4" s="114" t="s">
        <v>185</v>
      </c>
      <c r="B4" s="114" t="s">
        <v>183</v>
      </c>
    </row>
    <row r="5" spans="1:2" ht="15">
      <c r="A5" s="114"/>
      <c r="B5" s="114"/>
    </row>
    <row r="7" spans="1:2" ht="15" customHeight="1">
      <c r="A7" s="114" t="s">
        <v>187</v>
      </c>
      <c r="B7" s="114" t="s">
        <v>183</v>
      </c>
    </row>
    <row r="8" spans="1:2" ht="15">
      <c r="A8" s="114"/>
      <c r="B8" s="114"/>
    </row>
    <row r="10" spans="1:2" ht="15" customHeight="1">
      <c r="A10" s="13" t="s">
        <v>189</v>
      </c>
      <c r="B10" s="13" t="s">
        <v>183</v>
      </c>
    </row>
    <row r="11" spans="1:2" ht="15">
      <c r="A11" s="115" t="s">
        <v>190</v>
      </c>
      <c r="B11" s="115">
        <v>0</v>
      </c>
    </row>
    <row r="12" spans="1:2" ht="15">
      <c r="A12" s="115" t="s">
        <v>191</v>
      </c>
      <c r="B12" s="115">
        <v>0</v>
      </c>
    </row>
    <row r="13" spans="1:2" ht="15">
      <c r="A13" s="115" t="s">
        <v>192</v>
      </c>
      <c r="B13" s="115">
        <v>0</v>
      </c>
    </row>
    <row r="14" spans="1:2" ht="15">
      <c r="A14" s="115" t="s">
        <v>193</v>
      </c>
      <c r="B14" s="115">
        <v>0</v>
      </c>
    </row>
    <row r="15" spans="1:2" ht="15">
      <c r="A15" s="115" t="s">
        <v>194</v>
      </c>
      <c r="B15" s="115">
        <v>0</v>
      </c>
    </row>
    <row r="18" spans="1:2" ht="15" customHeight="1">
      <c r="A18" s="114" t="s">
        <v>196</v>
      </c>
      <c r="B18" s="114" t="s">
        <v>183</v>
      </c>
    </row>
    <row r="19" spans="1:2" ht="15">
      <c r="A19" s="114"/>
      <c r="B19" s="114"/>
    </row>
    <row r="21" spans="1:2" ht="15" customHeight="1">
      <c r="A21" s="114" t="s">
        <v>198</v>
      </c>
      <c r="B21" s="114" t="s">
        <v>183</v>
      </c>
    </row>
    <row r="22" spans="1:2" ht="15">
      <c r="A22" s="114"/>
      <c r="B22" s="114"/>
    </row>
    <row r="24" spans="1:2" ht="15" customHeight="1">
      <c r="A24" s="114" t="s">
        <v>199</v>
      </c>
      <c r="B24" s="114" t="s">
        <v>183</v>
      </c>
    </row>
    <row r="25" spans="1:2" ht="15">
      <c r="A25" s="114"/>
      <c r="B25" s="114"/>
    </row>
    <row r="27" spans="1:2" ht="15" customHeight="1">
      <c r="A27" s="114" t="s">
        <v>202</v>
      </c>
      <c r="B27" s="114" t="s">
        <v>183</v>
      </c>
    </row>
    <row r="28" spans="1:2" ht="15">
      <c r="A28" s="116"/>
      <c r="B28" s="114"/>
    </row>
  </sheetData>
  <printOptions/>
  <pageMargins left="0.7" right="0.7" top="0.75" bottom="0.75" header="0.3" footer="0.3"/>
  <pageSetup orientation="portrait" paperSize="9"/>
  <tableParts>
    <tablePart r:id="rId2"/>
    <tablePart r:id="rId5"/>
    <tablePart r:id="rId3"/>
    <tablePart r:id="rId8"/>
    <tablePart r:id="rId4"/>
    <tablePart r:id="rId7"/>
    <tablePart r:id="rId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220</v>
      </c>
      <c r="B1" s="13" t="s">
        <v>17</v>
      </c>
    </row>
    <row r="2" spans="1:2" ht="15">
      <c r="A2" s="114" t="s">
        <v>221</v>
      </c>
      <c r="B2" s="114"/>
    </row>
    <row r="3" spans="1:2" ht="15">
      <c r="A3" s="114" t="s">
        <v>222</v>
      </c>
      <c r="B3" s="114"/>
    </row>
    <row r="4" spans="1:2" ht="15">
      <c r="A4" s="114" t="s">
        <v>223</v>
      </c>
      <c r="B4" s="114"/>
    </row>
    <row r="5" spans="1:2" ht="15">
      <c r="A5" s="114" t="s">
        <v>224</v>
      </c>
      <c r="B5" s="114"/>
    </row>
    <row r="6" spans="1:2" ht="15">
      <c r="A6" s="114" t="s">
        <v>225</v>
      </c>
      <c r="B6" s="114"/>
    </row>
    <row r="7" spans="1:2" ht="15">
      <c r="A7" s="114" t="s">
        <v>226</v>
      </c>
      <c r="B7" s="11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F5AB8E-130A-4916-B72E-AFDB59C6EE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2019-07-15T19:27:30Z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