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<sst xmlns="http://schemas.openxmlformats.org/spreadsheetml/2006/main" count="416" uniqueCount="239">
  <si>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</si>
  <si>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</si>
  <si>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</si>
  <si>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</si>
  <si>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</si>
  <si>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</si>
  <si>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</si>
  <si>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</si>
  <si>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</si>
  <si>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</si>
  <si>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</si>
  <si>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</si>
  <si>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</si>
  <si>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</si>
  <si>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</si>
  <si>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</si>
  <si>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</si>
  <si>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</si>
  <si>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</si>
  <si>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</si>
  <si>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</si>
  <si>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</si>
  <si>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</si>
  <si>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</si>
  <si>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</si>
  <si>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</si>
  <si>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</si>
  <si>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</si>
  <si>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</si>
  <si>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</si>
  <si>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</si>
  <si>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</si>
  <si>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</si>
  <si>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</si>
  <si>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</si>
  <si>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</si>
  <si>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</si>
  <si>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</si>
  <si>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</si>
  <si>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</si>
  <si>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</si>
  <si>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</si>
  <si>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</si>
  <si>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</si>
  <si>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</si>
  <si>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</si>
  <si>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</si>
  <si>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</si>
  <si>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</si>
  <si>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</si>
  <si>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</si>
  <si>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</si>
  <si>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</si>
  <si>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</si>
  <si>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</si>
  <si>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</si>
  <si>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</si>
  <si>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</si>
  <si>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</si>
  <si>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</si>
  <si>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</si>
  <si>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</si>
  <si>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</si>
  <si>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</si>
  <si>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</si>
  <si>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</si>
  <si>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</si>
  <si>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</si>
  <si>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</si>
  <si>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</si>
  <si>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</si>
  <si>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</si>
  <si>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</si>
  <si>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</si>
  <si>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</si>
  <si>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</si>
  <si>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</si>
  <si>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</si>
  <si>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</si>
  <si>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</si>
  <si>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</si>
  <si>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</si>
  <si>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</si>
  <si>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</si>
  <si>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</si>
  <si>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</si>
  <si>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</si>
  <si>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</si>
  <si>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</si>
  <si>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</si>
  <si>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</si>
  <si>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</si>
  <si>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</si>
  <si>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</si>
  <si>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</si>
  <si>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</si>
  <si>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</si>
  <si>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</si>
  <si>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</si>
  <si>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</si>
  <si>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</si>
  <si>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</si>
  <si>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</si>
  <si>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</si>
  <si>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</si>
  <si>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</si>
  <si>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</si>
  <si>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</si>
  <si>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</si>
  <si>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</si>
  <si>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</si>
  <si>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</si>
  <si>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</si>
  <si>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</si>
  <si>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</si>
  <si>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</si>
  <si>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</si>
  <si>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</si>
  <si>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</si>
  <si>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</si>
  <si>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</si>
  <si>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</si>
  <si>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</si>
  <si>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</si>
  <si>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</si>
  <si>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</si>
  <si>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</si>
  <si>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</si>
  <si>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</si>
  <si>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</si>
  <si>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</si>
  <si>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</si>
  <si>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</si>
  <si>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</si>
  <si>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</si>
  <si>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</si>
  <si>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</si>
  <si>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</si>
  <si>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</si>
  <si>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</si>
  <si>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</si>
  <si>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</si>
  <si>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</si>
  <si>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</si>
  <si>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</si>
  <si>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</si>
  <si>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</si>
  <si>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</si>
  <si>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</si>
  <si>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</si>
  <si>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</si>
  <si>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</si>
  <si>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</si>
  <si>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</si>
  <si>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</si>
  <si>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</si>
  <si>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</si>
  <si>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</si>
  <si>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</si>
  <si>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</si>
  <si>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</si>
  <si>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</si>
  <si>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</si>
  <si>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</si>
  <si>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</si>
  <si>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</si>
  <si>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</si>
  <si>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</si>
  <si>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</si>
  <si>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</si>
  <si>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</si>
  <si>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</si>
  <si>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</si>
  <si>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</si>
  <si>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</si>
  <si>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Cell Count</t>
  </si>
  <si>
    <t>Directed</t>
  </si>
  <si>
    <t>Andre</t>
  </si>
  <si>
    <t>Beverly</t>
  </si>
  <si>
    <t>Diane</t>
  </si>
  <si>
    <t>Carol</t>
  </si>
  <si>
    <t>Fernando</t>
  </si>
  <si>
    <t>Ed</t>
  </si>
  <si>
    <t>Garth</t>
  </si>
  <si>
    <t>Heather</t>
  </si>
  <si>
    <t>Ike</t>
  </si>
  <si>
    <t>Jane</t>
  </si>
  <si>
    <t>Graph History</t>
  </si>
  <si>
    <t>LayoutAlgorithm░The graph was laid out using the Harel-Koren Fast Multiscale layout algorithm.▓GraphDirectedness░The graph is directed.</t>
  </si>
  <si>
    <t>Marked?</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</si>
  <si>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</si>
  <si>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</si>
  <si>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</si>
  <si>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</si>
  <si>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</si>
  <si>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</si>
  <si>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</si>
  <si>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</si>
  <si>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</si>
  <si>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</si>
  <si>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</si>
  <si>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</si>
  <si>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</si>
  <si>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</si>
  <si>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</si>
  <si>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</si>
  <si>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</si>
  <si>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</si>
  <si>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</si>
  <si>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</si>
  <si>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</si>
  <si>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</si>
  <si>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</si>
  <si>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</si>
  <si>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</si>
  <si>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</si>
  <si>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</si>
  <si>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</si>
  <si>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</si>
  <si>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</si>
  <si>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</si>
  <si>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</si>
  <si>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</si>
  <si>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</si>
  <si>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</si>
  <si>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</si>
  <si>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</si>
  <si>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</si>
  <si>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0.059</t>
  </si>
  <si>
    <t>0.056</t>
  </si>
  <si>
    <t>0.067</t>
  </si>
  <si>
    <t>0.071</t>
  </si>
  <si>
    <t>0.048</t>
  </si>
  <si>
    <t>0.034</t>
  </si>
  <si>
    <t>Autofill Workbook Results</t>
  </si>
  <si>
    <t>▓0▓0▓0▓True▓Black▓Black▓▓▓0▓0▓0▓0▓0▓False▓▓0▓0▓0▓0▓0▓False▓▓0▓0▓0▓True▓Black▓Black▓▓Degree▓1▓6▓0▓1▓6▓False▓Betweenness Centrality▓0▓28▓3▓50▓100▓False▓▓0▓0▓0▓0▓0▓False▓▓0▓0▓0▓0▓0▓False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</si>
  <si>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&lt;value&gt;False&lt;/value&gt;
      &lt;/setting&gt;
      &lt;setting name="UseFixedAspectRatio" serializeAs="String"&gt;
        &lt;value&gt;False&lt;/value&gt;
      &lt;/setting&gt;
      &lt;setting name="ExportWorkbookAndSettings" serializeAs="String"&gt;
        &lt;value&gt;False&lt;/value&gt;
      &lt;/setting&gt;
      &lt;setting name="Author" serializeAs="String"&gt;
        &lt;value&gt;MidoriFriedbauer&lt;/value&gt;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&lt;GraphImageUserSettings2&gt;
      &lt;setting name="ImageSize" serializeAs="String"&gt;
        &lt;value&gt;600, 400&lt;/value&gt;
      &lt;/setting&gt;
      &lt;setting name="IncludeFooter" serializeAs="String"&gt;
        &lt;value&gt;True&lt;/value&gt;
      &lt;/setting&gt;
      &lt;setting name="IncludeHeader" serializeAs="String"&gt;
        &lt;value&gt;True&lt;/value&gt;
      &lt;/setting&gt;
      &lt;setting name="UseControlSize" serializeAs="String"&gt;
        &lt;value&gt;True&lt;/value&gt;
      &lt;/setting&gt;
      &lt;setting name="FooterText" serializeAs="String"&gt;
        &lt;value&gt;Created with NodeXL (http://nodexl.codeplex.com)&lt;/value&gt;
      &lt;/setting&gt;
      &lt;setting name="HeaderFooterFont" serializeAs="String"&gt;
        &lt;value&gt;Microsoft Sans Serif, 8.25pt&lt;/value&gt;
      &lt;/setting&gt;
      &lt;setting name="HeaderText" serializeAs="String"&gt;
        &lt;value&gt;The Twitter Users that Michael Phelps Follows (Michael Phelps' Social Network)&lt;/value&gt;
      &lt;/setting&gt;
    &lt;/GraphImageUserSettings2&gt;
    &lt;AutoFillUserSettings3&gt;
      &lt;setting name="VertexYDetails" serializeAs="String"&gt;
        &lt;value&gt;False False 0 0 0 9999 False False&lt;/value&gt;
      &lt;/setting&gt;
      &lt;setting name="VertexXSourceColumnName" serializeAs="String"&gt;
        &lt;value /&gt;
      &lt;/setting&gt;
      &lt;setting name="VertexLayoutOrderDetails" serializeAs="String"&gt;
        &lt;value&gt;False False 0 0 1 9999 False False&lt;/value&gt;
      &lt;/setting&gt;
      &lt;setting name="VertexPolarRSourceColumnName" serializeAs="String"&gt;
        &lt;value /&gt;
      &lt;/setting&gt;
      &lt;setting name="VertexPolarAngleSourceColumnName" serializeAs="String"&gt;
        &lt;value /&gt;
      &lt;/setting&gt;
      &lt;setting name="EdgeStyleDetails" serializeAs="String"&gt;
        &lt;value&gt;GreaterThan 0 Solid Dash&lt;/value&gt;
      &lt;/setting&gt;
      &lt;setting name="EdgeWidthSourceColumnName" serializeAs="String"&gt;
        &lt;value /&gt;
      &lt;/setting&gt;
      &lt;setting name="VertexLabelFillColorSourceColumnName" serializeAs="String"&gt;
        &lt;value /&gt;
      &lt;/setting&gt;
      &lt;setting nam</t>
  </si>
  <si>
    <t xml:space="preserve">e="VertexColorDetails" serializeAs="String"&gt;
        &lt;value&gt;False False 0 10 241, 137, 4 46, 7, 195 False False True&lt;/value&gt;
      &lt;/setting&gt;
      &lt;setting name="VertexColorSourceColumnName" serializeAs="String"&gt;
        &lt;value /&gt;
      &lt;/setting&gt;
      &lt;setting name="GroupLabelSourceColumnName" serializeAs="String"&gt;
        &lt;value /&gt;
      &lt;/setting&gt;
      &lt;setting name="EdgeAlphaDetails" serializeAs="String"&gt;
        &lt;value&gt;False False 0 100 10 100 False False&lt;/value&gt;
      &lt;/setting&gt;
      &lt;setting name="VertexLabelPositionDetails" serializeAs="String"&gt;
        &lt;value&gt;GreaterThan 0 Bottom Center Nowhere&lt;/value&gt;
      &lt;/setting&gt;
      &lt;setting name="EdgeVisibilitySourceColumnName" serializeAs="String"&gt;
        &lt;value /&gt;
      &lt;/setting&gt;
      &lt;setting name="VertexVisibilityDetails" serializeAs="String"&gt;
        &lt;value&gt;GreaterThan 0 Show if in an Edge Skip&lt;/value&gt;
      &lt;/setting&gt;
      &lt;setting name="VertexLabelPositionSourceColumnName" serializeAs="String"&gt;
        &lt;value /&gt;
      &lt;/setting&gt;
      &lt;setting name="VertexToolTipSourceColumnName" serializeAs="String"&gt;
        &lt;value&gt;Closeness Centrality&lt;/value&gt;
      &lt;/setting&gt;
      &lt;setting name="GroupCollapsedSourceColumnName" serializeAs="String"&gt;
        &lt;value /&gt;
      &lt;/setting&gt;
      &lt;setting name="VertexShapeSourceColumnName" serializeAs="String"&gt;
        &lt;value /&gt;
      &lt;/setting&gt;
      &lt;setting name="VertexPolarAngleDetails" serializeAs="String"&gt;
        &lt;value&gt;False False 0 0 0 359 False False&lt;/value&gt;
      &lt;/setting&gt;
      &lt;setting name="VertexAlphaSourceColumnName" serializeAs="String"&gt;
        &lt;value&gt;Betweenness Centrality&lt;/value&gt;
      &lt;/setting&gt;
      &lt;setting name="VertexAlphaDetails" serializeAs="String"&gt;
        &lt;value&gt;False False 0 0 50 100 False False&lt;/value&gt;
      &lt;/setting&gt;
      &lt;setting name="EdgeWidthDetails" serializeAs="String"&gt;
        &lt;value&gt;False False 1 10 1 10 False False&lt;/value&gt;
      &lt;/setting&gt;
      &lt;setting name="VertexVisibilitySourceColumnName" serializeAs="String"&gt;
        &lt;value /&gt;
      &lt;/setting&gt;
      &lt;setting name="GroupCollapsedDetails" serializeAs="String"&gt;
        &lt;value&gt;GreaterThan 0 Yes No&lt;/value&gt;
      &lt;/setting&gt;
      &lt;setting name="EdgeStyleSourceColumnName" serializeAs="String"&gt;
        &lt;value /&gt;
      &lt;/setting&gt;
      &lt;setting name="VertexRadiusDetails" serializeAs="String"&gt;
        &lt;value&gt;False False 0 0 1 6 False False&lt;/value&gt;
      &lt;/setting&gt;
      &lt;setting name="EdgeLabelSourceColumnName" serializeAs="String"&gt;
        &lt;value /&gt;
      &lt;/setting&gt;
      &lt;setting name="VertexRadiusSourceColumnName" serializeAs="String"&gt;
        &lt;value&gt;Degree&lt;/value&gt;
      &lt;/setting&gt;
      &lt;setting name="EdgeAlphaSourceColumnName" serializeAs="String"&gt;
        &lt;value /&gt;
      &lt;/setting&gt;
      &lt;setting name="VertexShapeDetails" serializeAs="String"&gt;
        &lt;value&gt;GreaterThan 0 Solid Square Disk&lt;/value&gt;
      &lt;/setting&gt;
      &lt;setting name="VertexXDetails" serializeAs="String"&gt;
        &lt;value&gt;False False 0 0 0 9999 False False&lt;/value&gt;
      &lt;/setting&gt;
      &lt;setting name="VertexLabelSourceColumnName" serializeAs="String"&gt;
        &lt;value&gt;Vertex&lt;/value&gt;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name="VertexYSourceColumnName" serializeAs="String"&gt;
        &lt;value /&gt;
      &lt;/setting&gt;
      &lt;setting name="VertexLayoutOrderSourceColumnName" serializeAs="String"&gt;
        &lt;value /&gt;
      &lt;/setting&gt;
      &lt;setting name="EdgeColorSourceColumnName" serializeAs="String"&gt;
        &lt;value /&gt;
      &lt;/setting&gt;
      &lt;setting name="VertexPolarRDetails" serializeAs="String"&gt;
        &lt;value&gt;False False 0 0 0 1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&lt;LayoutUserSettings&gt;
      &lt;setting name="LayoutStyle" serializeAs="String"&gt;
        &lt;value&gt;UseGroups&lt;/value&gt;
      &lt;/setting&gt;
      &lt;setting name="FruchtermanReingoldC" serializeAs="String"&gt;
      </t>
  </si>
  <si>
    <t xml:space="preserve">  &lt;value&gt;3&lt;/value&gt;
      &lt;/setting&gt;
      &lt;setting name="MaximumVerticesPerBin" serializeAs="String"&gt;
        &lt;value&gt;3&lt;/value&gt;
      &lt;/setting&gt;
      &lt;setting name="IntergroupEdgeStyle" serializeAs="String"&gt;
        &lt;value&gt;Show&lt;/value&gt;
      &lt;/setting&gt;
      &lt;setting name="Margin" serializeAs="String"&gt;
        &lt;value&gt;6&lt;/value&gt;
      &lt;/setting&gt;
      &lt;setting name="FruchtermanReingoldIterations" serializeAs="String"&gt;
        &lt;value&gt;10&lt;/value&gt;
      &lt;/setting&gt;
      &lt;setting name="BinLength" serializeAs="String"&gt;
        &lt;value&gt;16&lt;/value&gt;
      &lt;/setting&gt;
      &lt;setting name="Layout" serializeAs="String"&gt;
        &lt;value&gt;HarelKorenFastMultiscale&lt;/value&gt;
      &lt;/setting&gt;
      &lt;setting name="GroupRectanglePenWidth" serializeAs="String"&gt;
        &lt;value&gt;1&lt;/value&gt;
      &lt;/setting&gt;
      &lt;setting name="ImproveLayoutOfGroups" serializeAs="String"&gt;
        &lt;value&gt;True&lt;/value&gt;
      &lt;/setting&gt;
    &lt;/LayoutUserSettings&gt;
    &lt;GeneralUserSettings4&gt;
      &lt;setting name="NewWorkbookGraphDirectedness" serializeAs="String"&gt;
        &lt;value&gt;Directed&lt;/value&gt;
      &lt;/setting&gt;
      &lt;setting name="BackColor" serializeAs="String"&gt;
        &lt;value&gt;White&lt;/value&gt;
      &lt;/setting&gt;
      &lt;setting name="BackgroundImageUri" serializeAs="String"&gt;
        &lt;value /&gt;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8.25pt&lt;/value&gt;
      &lt;/setting&gt;
      &lt;setting name="EdgeBezierDisplacementFactor" serializeAs="String"&gt;
        &lt;value&gt;0.6&lt;/value&gt;
      &lt;/setting&gt;
      &lt;setting name="VertexRadius" serializeAs="String"&gt;
        &lt;value&gt;1.5&lt;/value&gt;
      &lt;/setting&gt;
      &lt;setting name="VertexRelativeOuterGlowSize" serializeAs="String"&gt;
        &lt;value&gt;3&lt;/value&gt;
      &lt;/setting&gt;
      &lt;setting name="AutoSelect" serializeAs="String"&gt;
        &lt;value&gt;True&lt;/value&gt;
      &lt;/setting&gt;
      &lt;setting name="EdgeCurveStyle" serializeAs="String"&gt;
        &lt;value&gt;Straight&lt;/value&gt;
      &lt;/setting&gt;
      &lt;setting name="VertexEffect" serializeAs="String"&gt;
        &lt;value&gt;None&lt;/value&gt;
      &lt;/setting&gt;
      &lt;setting name="LabelUserSettings" serializeAs="String"&gt;
        &lt;value&gt;Microsoft Sans Serif, 8.25pt White BottomCenter 2147483647 2147483647 Black True 200 Black 86 MiddleCenter&lt;/value&gt;
      &lt;/setting&gt;
      &lt;setting name="EdgeBundlerStraightening" serializeAs="String"&gt;
        &lt;value&gt;0.15&lt;/value&gt;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name="EdgeWidth" serializeAs="String"&gt;
        &lt;value&gt;1&lt;/value&gt;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name="ReadEdgeLabels" serializeAs="String"&gt;
        &lt;value&gt;True&lt;/value&gt;
      &lt;/setting&gt;
      &lt;setting name="ShowGraphLegend" serializeAs="String"&gt;
        &lt;value&gt;True&lt;/value&gt;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</si>
</sst>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48">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dxf>
    <dxf>
      <numFmt numFmtId="177" formatCode="@"/>
    </dxf>
    <dxf>
      <numFmt numFmtId="177" formatCode="@"/>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border>
        <right style="thin">
          <color theme="0"/>
        </right>
      </border>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9593678"/>
        <c:axId val="66581055"/>
      </c:barChart>
      <c:catAx>
        <c:axId val="59593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81055"/>
        <c:crosses val="autoZero"/>
        <c:auto val="1"/>
        <c:lblOffset val="100"/>
        <c:noMultiLvlLbl val="0"/>
      </c:catAx>
      <c:valAx>
        <c:axId val="6658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9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2358584"/>
        <c:axId val="24356345"/>
      </c:barChart>
      <c:catAx>
        <c:axId val="623585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56345"/>
        <c:crosses val="autoZero"/>
        <c:auto val="1"/>
        <c:lblOffset val="100"/>
        <c:noMultiLvlLbl val="0"/>
      </c:catAx>
      <c:valAx>
        <c:axId val="24356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8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7880514"/>
        <c:axId val="26706899"/>
      </c:barChart>
      <c:catAx>
        <c:axId val="178805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06899"/>
        <c:crosses val="autoZero"/>
        <c:auto val="1"/>
        <c:lblOffset val="100"/>
        <c:noMultiLvlLbl val="0"/>
      </c:catAx>
      <c:valAx>
        <c:axId val="2670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0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9035500"/>
        <c:axId val="15775181"/>
      </c:barChart>
      <c:catAx>
        <c:axId val="390355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75181"/>
        <c:crosses val="autoZero"/>
        <c:auto val="1"/>
        <c:lblOffset val="100"/>
        <c:noMultiLvlLbl val="0"/>
      </c:catAx>
      <c:valAx>
        <c:axId val="1577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7758902"/>
        <c:axId val="2721255"/>
      </c:barChart>
      <c:catAx>
        <c:axId val="7758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21255"/>
        <c:crosses val="autoZero"/>
        <c:auto val="1"/>
        <c:lblOffset val="100"/>
        <c:noMultiLvlLbl val="0"/>
      </c:catAx>
      <c:valAx>
        <c:axId val="272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8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4491296"/>
        <c:axId val="19095073"/>
      </c:barChart>
      <c:catAx>
        <c:axId val="244912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95073"/>
        <c:crosses val="autoZero"/>
        <c:auto val="1"/>
        <c:lblOffset val="100"/>
        <c:noMultiLvlLbl val="0"/>
      </c:catAx>
      <c:valAx>
        <c:axId val="19095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91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7637930"/>
        <c:axId val="3197051"/>
      </c:barChart>
      <c:catAx>
        <c:axId val="37637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7051"/>
        <c:crosses val="autoZero"/>
        <c:auto val="1"/>
        <c:lblOffset val="100"/>
        <c:noMultiLvlLbl val="0"/>
      </c:catAx>
      <c:valAx>
        <c:axId val="3197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8773460"/>
        <c:axId val="57634549"/>
      </c:barChart>
      <c:catAx>
        <c:axId val="28773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34549"/>
        <c:crosses val="autoZero"/>
        <c:auto val="1"/>
        <c:lblOffset val="100"/>
        <c:noMultiLvlLbl val="0"/>
      </c:catAx>
      <c:valAx>
        <c:axId val="5763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3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8948894"/>
        <c:axId val="37886863"/>
      </c:barChart>
      <c:catAx>
        <c:axId val="48948894"/>
        <c:scaling>
          <c:orientation val="minMax"/>
        </c:scaling>
        <c:axPos val="b"/>
        <c:delete val="1"/>
        <c:majorTickMark val="out"/>
        <c:minorTickMark val="none"/>
        <c:tickLblPos val="none"/>
        <c:crossAx val="37886863"/>
        <c:crosses val="autoZero"/>
        <c:auto val="1"/>
        <c:lblOffset val="100"/>
        <c:noMultiLvlLbl val="0"/>
      </c:catAx>
      <c:valAx>
        <c:axId val="37886863"/>
        <c:scaling>
          <c:orientation val="minMax"/>
        </c:scaling>
        <c:axPos val="l"/>
        <c:delete val="1"/>
        <c:majorTickMark val="out"/>
        <c:minorTickMark val="none"/>
        <c:tickLblPos val="none"/>
        <c:crossAx val="48948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0" totalsRowShown="0" headerRowDxfId="146" dataDxfId="145">
  <autoFilter ref="A2:N20"/>
  <tableColumns count="14">
    <tableColumn id="1" name="Vertex 1" dataDxfId="144"/>
    <tableColumn id="2" name="Vertex 2" dataDxfId="143"/>
    <tableColumn id="3" name="Color" dataDxfId="142"/>
    <tableColumn id="4" name="Width" dataDxfId="141"/>
    <tableColumn id="11" name="Style" dataDxfId="140"/>
    <tableColumn id="5" name="Opacity" dataDxfId="139"/>
    <tableColumn id="6" name="Visibility" dataDxfId="138"/>
    <tableColumn id="10" name="Label" dataDxfId="137"/>
    <tableColumn id="12" name="Label Text Color" dataDxfId="136"/>
    <tableColumn id="13" name="Label Font Size" dataDxfId="135"/>
    <tableColumn id="14" name="Reciprocated?" dataDxfId="134"/>
    <tableColumn id="7" name="ID" dataDxfId="133"/>
    <tableColumn id="9" name="Dynamic Filter" dataDxfId="132"/>
    <tableColumn id="8" name="Add Your Own Columns Here" dataDxfId="1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2" totalsRowShown="0" headerRowDxfId="130" dataDxfId="129">
  <autoFilter ref="A2:AN12"/>
  <sortState ref="A3:AC12">
    <sortCondition sortBy="value" ref="A3:A12"/>
  </sortState>
  <tableColumns count="40">
    <tableColumn id="1" name="Vertex" dataDxfId="128"/>
    <tableColumn id="2" name="Color" dataDxfId="127"/>
    <tableColumn id="5" name="Shape" dataDxfId="126"/>
    <tableColumn id="6" name="Size" dataDxfId="125"/>
    <tableColumn id="4" name="Opacity" dataDxfId="124"/>
    <tableColumn id="7" name="Image File" dataDxfId="123"/>
    <tableColumn id="3" name="Visibility" dataDxfId="122"/>
    <tableColumn id="10" name="Label" dataDxfId="121"/>
    <tableColumn id="16" name="Label Fill Color" dataDxfId="120"/>
    <tableColumn id="9" name="Label Position" dataDxfId="119"/>
    <tableColumn id="8" name="Tooltip" dataDxfId="118"/>
    <tableColumn id="18" name="Layout Order" dataDxfId="117"/>
    <tableColumn id="13" name="X" dataDxfId="116"/>
    <tableColumn id="14" name="Y" dataDxfId="115"/>
    <tableColumn id="12" name="Locked?" dataDxfId="114"/>
    <tableColumn id="19" name="Polar R" dataDxfId="113"/>
    <tableColumn id="20" name="Polar Angle" dataDxfId="112"/>
    <tableColumn id="21" name="Degree" dataDxfId="111">
      <calculatedColumnFormula>S3+T3</calculatedColumnFormula>
    </tableColumn>
    <tableColumn id="22" name="In-Degree" dataDxfId="110"/>
    <tableColumn id="23" name="Out-Degree" dataDxfId="109"/>
    <tableColumn id="24" name="Betweenness Centrality" dataDxfId="108"/>
    <tableColumn id="25" name="Closeness Centrality" dataDxfId="107"/>
    <tableColumn id="26" name="Eigenvector Centrality" dataDxfId="106"/>
    <tableColumn id="15" name="PageRank" dataDxfId="105"/>
    <tableColumn id="27" name="Clustering Coefficient" dataDxfId="104"/>
    <tableColumn id="29" name="Reciprocated Vertex Pair Ratio" dataDxfId="103"/>
    <tableColumn id="11" name="ID" dataDxfId="102"/>
    <tableColumn id="28" name="Dynamic Filter" dataDxfId="101"/>
    <tableColumn id="17" name="Add Your Own Columns Here" dataDxfId="100"/>
    <tableColumn id="30" name="Marked?" dataDxfId="99"/>
    <tableColumn id="31" name="Top URLs in Tweet by Count" dataDxfId="98"/>
    <tableColumn id="32" name="Top URLs in Tweet by Salience" dataDxfId="97"/>
    <tableColumn id="33" name="Top Domains in Tweet by Count" dataDxfId="96"/>
    <tableColumn id="34" name="Top Domains in Tweet by Salience" dataDxfId="95"/>
    <tableColumn id="35" name="Top Hashtags in Tweet by Count" dataDxfId="94"/>
    <tableColumn id="36" name="Top Hashtags in Tweet by Salience" dataDxfId="93"/>
    <tableColumn id="37" name="Top Words in Tweet by Count" dataDxfId="92"/>
    <tableColumn id="38" name="Top Words in Tweet by Salience" dataDxfId="91"/>
    <tableColumn id="39" name="Top Word Pairs in Tweet by Count" dataDxfId="90"/>
    <tableColumn id="40" name="Top Word Pairs in Tweet by Salience" dataDxfId="89"/>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88">
  <autoFilter ref="A2:AF3"/>
  <tableColumns count="32">
    <tableColumn id="1" name="Group" dataDxfId="87"/>
    <tableColumn id="2" name="Vertex Color" dataDxfId="86"/>
    <tableColumn id="3" name="Vertex Shape" dataDxfId="85"/>
    <tableColumn id="22" name="Visibility" dataDxfId="84"/>
    <tableColumn id="4" name="Collapsed?"/>
    <tableColumn id="18" name="Label" dataDxfId="83"/>
    <tableColumn id="20" name="Collapsed X"/>
    <tableColumn id="21" name="Collapsed Y"/>
    <tableColumn id="6" name="ID" dataDxfId="82"/>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7"/>
    <tableColumn id="23" name="Top URLs in Tweet" dataDxfId="66"/>
    <tableColumn id="26" name="Top Domains in Tweet" dataDxfId="65"/>
    <tableColumn id="27" name="Top Hashtags in Tweet" dataDxfId="64"/>
    <tableColumn id="28" name="Top Words in Tweet" dataDxfId="63"/>
    <tableColumn id="29" name="Top Word Pairs in Tweet" dataDxfId="62"/>
    <tableColumn id="30" name="Top Replied-To in Tweet" dataDxfId="61"/>
    <tableColumn id="31" name="Top Mentioned in Tweet" dataDxfId="60"/>
    <tableColumn id="32" name="Top Tweeter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58" dataDxfId="57">
  <autoFilter ref="A1:C2"/>
  <tableColumns count="3">
    <tableColumn id="1" name="Group" dataDxfId="56"/>
    <tableColumn id="2" name="Vertex" dataDxfId="55"/>
    <tableColumn id="3" name="Vertex ID" dataDxfId="5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
  <sheetViews>
    <sheetView workbookViewId="0" topLeftCell="A1">
      <pane xSplit="2" ySplit="2" topLeftCell="C3" activePane="bottomRight" state="frozen"/>
      <selection pane="topRight" activeCell="C1" sqref="C1"/>
      <selection pane="bottomLeft" activeCell="A3" sqref="A3"/>
      <selection pane="bottomRight" activeCell="A2" sqref="A2:N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65"/>
      <c r="J1" s="65"/>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row>
    <row r="3" spans="1:14" ht="15" customHeight="1">
      <c r="A3" s="50" t="s">
        <v>177</v>
      </c>
      <c r="B3" s="50" t="s">
        <v>178</v>
      </c>
      <c r="C3" s="53"/>
      <c r="D3" s="54"/>
      <c r="E3" s="66"/>
      <c r="F3" s="55"/>
      <c r="G3" s="53"/>
      <c r="H3" s="57"/>
      <c r="I3" s="56"/>
      <c r="J3" s="56"/>
      <c r="K3" s="36" t="s">
        <v>65</v>
      </c>
      <c r="L3" s="62">
        <v>3</v>
      </c>
      <c r="M3" s="62"/>
      <c r="N3" s="63"/>
    </row>
    <row r="4" spans="1:14" ht="15" customHeight="1">
      <c r="A4" s="50" t="s">
        <v>177</v>
      </c>
      <c r="B4" s="50" t="s">
        <v>179</v>
      </c>
      <c r="C4" s="53"/>
      <c r="D4" s="54"/>
      <c r="E4" s="66"/>
      <c r="F4" s="55"/>
      <c r="G4" s="53"/>
      <c r="H4" s="57"/>
      <c r="I4" s="56"/>
      <c r="J4" s="56"/>
      <c r="K4" s="36" t="s">
        <v>65</v>
      </c>
      <c r="L4" s="80">
        <v>4</v>
      </c>
      <c r="M4" s="80"/>
      <c r="N4" s="63"/>
    </row>
    <row r="5" spans="1:14" ht="15">
      <c r="A5" s="50" t="s">
        <v>177</v>
      </c>
      <c r="B5" s="50" t="s">
        <v>180</v>
      </c>
      <c r="C5" s="53"/>
      <c r="D5" s="54"/>
      <c r="E5" s="66"/>
      <c r="F5" s="55"/>
      <c r="G5" s="53"/>
      <c r="H5" s="57"/>
      <c r="I5" s="56"/>
      <c r="J5" s="56"/>
      <c r="K5" s="36" t="s">
        <v>65</v>
      </c>
      <c r="L5" s="80">
        <v>5</v>
      </c>
      <c r="M5" s="80"/>
      <c r="N5" s="63"/>
    </row>
    <row r="6" spans="1:14" ht="15">
      <c r="A6" s="50" t="s">
        <v>177</v>
      </c>
      <c r="B6" s="50" t="s">
        <v>181</v>
      </c>
      <c r="C6" s="53"/>
      <c r="D6" s="54"/>
      <c r="E6" s="66"/>
      <c r="F6" s="55"/>
      <c r="G6" s="53"/>
      <c r="H6" s="57"/>
      <c r="I6" s="56"/>
      <c r="J6" s="56"/>
      <c r="K6" s="36" t="s">
        <v>65</v>
      </c>
      <c r="L6" s="80">
        <v>6</v>
      </c>
      <c r="M6" s="80"/>
      <c r="N6" s="63"/>
    </row>
    <row r="7" spans="1:14" ht="15">
      <c r="A7" s="50" t="s">
        <v>178</v>
      </c>
      <c r="B7" s="50" t="s">
        <v>179</v>
      </c>
      <c r="C7" s="53"/>
      <c r="D7" s="54"/>
      <c r="E7" s="66"/>
      <c r="F7" s="55"/>
      <c r="G7" s="53"/>
      <c r="H7" s="57"/>
      <c r="I7" s="56"/>
      <c r="J7" s="56"/>
      <c r="K7" s="36" t="s">
        <v>65</v>
      </c>
      <c r="L7" s="80">
        <v>7</v>
      </c>
      <c r="M7" s="80"/>
      <c r="N7" s="63"/>
    </row>
    <row r="8" spans="1:14" ht="15">
      <c r="A8" s="50" t="s">
        <v>178</v>
      </c>
      <c r="B8" s="50" t="s">
        <v>182</v>
      </c>
      <c r="C8" s="53"/>
      <c r="D8" s="54"/>
      <c r="E8" s="66"/>
      <c r="F8" s="55"/>
      <c r="G8" s="53"/>
      <c r="H8" s="57"/>
      <c r="I8" s="56"/>
      <c r="J8" s="56"/>
      <c r="K8" s="36" t="s">
        <v>65</v>
      </c>
      <c r="L8" s="80">
        <v>8</v>
      </c>
      <c r="M8" s="80"/>
      <c r="N8" s="63"/>
    </row>
    <row r="9" spans="1:14" ht="15">
      <c r="A9" s="50" t="s">
        <v>178</v>
      </c>
      <c r="B9" s="50" t="s">
        <v>183</v>
      </c>
      <c r="C9" s="53"/>
      <c r="D9" s="54"/>
      <c r="E9" s="66"/>
      <c r="F9" s="55"/>
      <c r="G9" s="53"/>
      <c r="H9" s="57"/>
      <c r="I9" s="56"/>
      <c r="J9" s="56"/>
      <c r="K9" s="36" t="s">
        <v>65</v>
      </c>
      <c r="L9" s="80">
        <v>9</v>
      </c>
      <c r="M9" s="80"/>
      <c r="N9" s="63"/>
    </row>
    <row r="10" spans="1:14" ht="15">
      <c r="A10" s="50" t="s">
        <v>180</v>
      </c>
      <c r="B10" s="50" t="s">
        <v>179</v>
      </c>
      <c r="C10" s="53"/>
      <c r="D10" s="54"/>
      <c r="E10" s="66"/>
      <c r="F10" s="55"/>
      <c r="G10" s="53"/>
      <c r="H10" s="57"/>
      <c r="I10" s="56"/>
      <c r="J10" s="56"/>
      <c r="K10" s="36" t="s">
        <v>65</v>
      </c>
      <c r="L10" s="80">
        <v>10</v>
      </c>
      <c r="M10" s="80"/>
      <c r="N10" s="63"/>
    </row>
    <row r="11" spans="1:14" ht="15">
      <c r="A11" s="50" t="s">
        <v>180</v>
      </c>
      <c r="B11" s="50" t="s">
        <v>181</v>
      </c>
      <c r="C11" s="53"/>
      <c r="D11" s="54"/>
      <c r="E11" s="66"/>
      <c r="F11" s="55"/>
      <c r="G11" s="53"/>
      <c r="H11" s="57"/>
      <c r="I11" s="56"/>
      <c r="J11" s="56"/>
      <c r="K11" s="36" t="s">
        <v>65</v>
      </c>
      <c r="L11" s="80">
        <v>11</v>
      </c>
      <c r="M11" s="80"/>
      <c r="N11" s="63"/>
    </row>
    <row r="12" spans="1:14" ht="15">
      <c r="A12" s="50" t="s">
        <v>179</v>
      </c>
      <c r="B12" s="50" t="s">
        <v>182</v>
      </c>
      <c r="C12" s="53"/>
      <c r="D12" s="54"/>
      <c r="E12" s="66"/>
      <c r="F12" s="55"/>
      <c r="G12" s="53"/>
      <c r="H12" s="57"/>
      <c r="I12" s="56"/>
      <c r="J12" s="56"/>
      <c r="K12" s="36" t="s">
        <v>65</v>
      </c>
      <c r="L12" s="80">
        <v>12</v>
      </c>
      <c r="M12" s="80"/>
      <c r="N12" s="63"/>
    </row>
    <row r="13" spans="1:14" ht="15">
      <c r="A13" s="50" t="s">
        <v>179</v>
      </c>
      <c r="B13" s="50" t="s">
        <v>181</v>
      </c>
      <c r="C13" s="53"/>
      <c r="D13" s="54"/>
      <c r="E13" s="66"/>
      <c r="F13" s="55"/>
      <c r="G13" s="53"/>
      <c r="H13" s="57"/>
      <c r="I13" s="56"/>
      <c r="J13" s="56"/>
      <c r="K13" s="36" t="s">
        <v>65</v>
      </c>
      <c r="L13" s="80">
        <v>13</v>
      </c>
      <c r="M13" s="80"/>
      <c r="N13" s="63"/>
    </row>
    <row r="14" spans="1:14" ht="15">
      <c r="A14" s="50" t="s">
        <v>179</v>
      </c>
      <c r="B14" s="50" t="s">
        <v>183</v>
      </c>
      <c r="C14" s="53"/>
      <c r="D14" s="54"/>
      <c r="E14" s="66"/>
      <c r="F14" s="55"/>
      <c r="G14" s="53"/>
      <c r="H14" s="57"/>
      <c r="I14" s="56"/>
      <c r="J14" s="56"/>
      <c r="K14" s="36" t="s">
        <v>65</v>
      </c>
      <c r="L14" s="80">
        <v>14</v>
      </c>
      <c r="M14" s="80"/>
      <c r="N14" s="63"/>
    </row>
    <row r="15" spans="1:14" ht="15">
      <c r="A15" s="50" t="s">
        <v>182</v>
      </c>
      <c r="B15" s="50" t="s">
        <v>183</v>
      </c>
      <c r="C15" s="53"/>
      <c r="D15" s="54"/>
      <c r="E15" s="66"/>
      <c r="F15" s="55"/>
      <c r="G15" s="53"/>
      <c r="H15" s="57"/>
      <c r="I15" s="56"/>
      <c r="J15" s="56"/>
      <c r="K15" s="36" t="s">
        <v>65</v>
      </c>
      <c r="L15" s="80">
        <v>15</v>
      </c>
      <c r="M15" s="80"/>
      <c r="N15" s="63"/>
    </row>
    <row r="16" spans="1:14" ht="15">
      <c r="A16" s="50" t="s">
        <v>181</v>
      </c>
      <c r="B16" s="50" t="s">
        <v>183</v>
      </c>
      <c r="C16" s="53"/>
      <c r="D16" s="54"/>
      <c r="E16" s="66"/>
      <c r="F16" s="55"/>
      <c r="G16" s="53"/>
      <c r="H16" s="57"/>
      <c r="I16" s="56"/>
      <c r="J16" s="56"/>
      <c r="K16" s="36" t="s">
        <v>65</v>
      </c>
      <c r="L16" s="80">
        <v>16</v>
      </c>
      <c r="M16" s="80"/>
      <c r="N16" s="63"/>
    </row>
    <row r="17" spans="1:14" ht="15">
      <c r="A17" s="50" t="s">
        <v>181</v>
      </c>
      <c r="B17" s="50" t="s">
        <v>184</v>
      </c>
      <c r="C17" s="53"/>
      <c r="D17" s="54"/>
      <c r="E17" s="66"/>
      <c r="F17" s="55"/>
      <c r="G17" s="53"/>
      <c r="H17" s="57"/>
      <c r="I17" s="56"/>
      <c r="J17" s="56"/>
      <c r="K17" s="36" t="s">
        <v>65</v>
      </c>
      <c r="L17" s="80">
        <v>17</v>
      </c>
      <c r="M17" s="80"/>
      <c r="N17" s="63"/>
    </row>
    <row r="18" spans="1:14" ht="15">
      <c r="A18" s="50" t="s">
        <v>183</v>
      </c>
      <c r="B18" s="50" t="s">
        <v>184</v>
      </c>
      <c r="C18" s="53"/>
      <c r="D18" s="54"/>
      <c r="E18" s="66"/>
      <c r="F18" s="55"/>
      <c r="G18" s="53"/>
      <c r="H18" s="57"/>
      <c r="I18" s="56"/>
      <c r="J18" s="56"/>
      <c r="K18" s="36" t="s">
        <v>65</v>
      </c>
      <c r="L18" s="80">
        <v>18</v>
      </c>
      <c r="M18" s="80"/>
      <c r="N18" s="63"/>
    </row>
    <row r="19" spans="1:14" ht="15">
      <c r="A19" s="50" t="s">
        <v>184</v>
      </c>
      <c r="B19" s="50" t="s">
        <v>185</v>
      </c>
      <c r="C19" s="53"/>
      <c r="D19" s="54"/>
      <c r="E19" s="66"/>
      <c r="F19" s="55"/>
      <c r="G19" s="53"/>
      <c r="H19" s="57"/>
      <c r="I19" s="56"/>
      <c r="J19" s="56"/>
      <c r="K19" s="36" t="s">
        <v>65</v>
      </c>
      <c r="L19" s="80">
        <v>19</v>
      </c>
      <c r="M19" s="80"/>
      <c r="N19" s="63"/>
    </row>
    <row r="20" spans="1:14" ht="15">
      <c r="A20" s="50" t="s">
        <v>185</v>
      </c>
      <c r="B20" s="50" t="s">
        <v>186</v>
      </c>
      <c r="C20" s="53"/>
      <c r="D20" s="54"/>
      <c r="E20" s="66"/>
      <c r="F20" s="55"/>
      <c r="G20" s="53"/>
      <c r="H20" s="57"/>
      <c r="I20" s="56"/>
      <c r="J20" s="56"/>
      <c r="K20" s="36" t="s">
        <v>65</v>
      </c>
      <c r="L20" s="80">
        <v>20</v>
      </c>
      <c r="M20" s="80"/>
      <c r="N20" s="63"/>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
  <sheetViews>
    <sheetView tabSelected="1" workbookViewId="0" topLeftCell="A1">
      <pane xSplit="1" ySplit="2" topLeftCell="O3" activePane="bottomRight" state="frozen"/>
      <selection pane="topRight" activeCell="B1" sqref="B1"/>
      <selection pane="bottomLeft" activeCell="A3" sqref="A3"/>
      <selection pane="bottomRight" activeCell="T21" sqref="T21"/>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7.00390625" style="0" bestFit="1"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1.00390625" style="2" bestFit="1" customWidth="1"/>
    <col min="31" max="31" width="17.28125" style="3" bestFit="1" customWidth="1"/>
    <col min="32" max="32" width="19.57421875" style="3" bestFit="1"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t="s">
        <v>189</v>
      </c>
      <c r="AE2" s="103" t="s">
        <v>217</v>
      </c>
      <c r="AF2" s="103" t="s">
        <v>218</v>
      </c>
      <c r="AG2" s="103" t="s">
        <v>219</v>
      </c>
      <c r="AH2" s="103" t="s">
        <v>220</v>
      </c>
      <c r="AI2" s="103" t="s">
        <v>221</v>
      </c>
      <c r="AJ2" s="103" t="s">
        <v>222</v>
      </c>
      <c r="AK2" s="103" t="s">
        <v>223</v>
      </c>
      <c r="AL2" s="103" t="s">
        <v>225</v>
      </c>
      <c r="AM2" s="103" t="s">
        <v>226</v>
      </c>
      <c r="AN2" s="103" t="s">
        <v>227</v>
      </c>
      <c r="AO2" s="3"/>
      <c r="AP2" s="3"/>
    </row>
    <row r="3" spans="1:42" ht="15" customHeight="1">
      <c r="A3" s="50" t="s">
        <v>177</v>
      </c>
      <c r="B3" s="53"/>
      <c r="C3" s="53"/>
      <c r="D3" s="54">
        <v>4</v>
      </c>
      <c r="E3" s="55">
        <v>52.97619107142857</v>
      </c>
      <c r="F3" s="53"/>
      <c r="G3" s="53"/>
      <c r="H3" s="57" t="s">
        <v>177</v>
      </c>
      <c r="I3" s="56"/>
      <c r="J3" s="56"/>
      <c r="K3" s="57" t="s">
        <v>228</v>
      </c>
      <c r="L3" s="59"/>
      <c r="M3" s="60">
        <v>1075.15100097656</v>
      </c>
      <c r="N3" s="60">
        <v>2320.45483398437</v>
      </c>
      <c r="O3" s="58" t="s">
        <v>66</v>
      </c>
      <c r="P3" s="61"/>
      <c r="Q3" s="61"/>
      <c r="R3" s="51">
        <f aca="true" t="shared" si="0" ref="R3:R12">S3+T3</f>
        <v>4</v>
      </c>
      <c r="S3" s="51">
        <v>0</v>
      </c>
      <c r="T3" s="51">
        <v>4</v>
      </c>
      <c r="U3" s="52">
        <v>1.666667</v>
      </c>
      <c r="V3" s="52">
        <v>0.058824</v>
      </c>
      <c r="W3" s="52">
        <v>0.125449</v>
      </c>
      <c r="X3" s="52">
        <v>1.019141</v>
      </c>
      <c r="Y3" s="52">
        <v>0.3333333333333333</v>
      </c>
      <c r="Z3" s="52">
        <v>0</v>
      </c>
      <c r="AA3" s="62">
        <v>3</v>
      </c>
      <c r="AB3" s="62"/>
      <c r="AC3" s="63"/>
      <c r="AD3"/>
      <c r="AE3" s="51"/>
      <c r="AF3" s="51"/>
      <c r="AG3" s="51"/>
      <c r="AH3" s="51"/>
      <c r="AI3" s="51"/>
      <c r="AJ3" s="51"/>
      <c r="AK3" s="104" t="s">
        <v>224</v>
      </c>
      <c r="AL3" s="104" t="s">
        <v>224</v>
      </c>
      <c r="AM3" s="104" t="s">
        <v>224</v>
      </c>
      <c r="AN3" s="104" t="s">
        <v>224</v>
      </c>
      <c r="AO3" s="3"/>
      <c r="AP3" s="3"/>
    </row>
    <row r="4" spans="1:45" ht="15">
      <c r="A4" s="14" t="s">
        <v>178</v>
      </c>
      <c r="B4" s="15"/>
      <c r="C4" s="15"/>
      <c r="D4" s="81">
        <v>4</v>
      </c>
      <c r="E4" s="78">
        <v>52.97619107142857</v>
      </c>
      <c r="F4" s="15"/>
      <c r="G4" s="15"/>
      <c r="H4" s="16" t="s">
        <v>178</v>
      </c>
      <c r="I4" s="67"/>
      <c r="J4" s="67"/>
      <c r="K4" s="16" t="s">
        <v>228</v>
      </c>
      <c r="L4" s="82"/>
      <c r="M4" s="83">
        <v>1521.75451660156</v>
      </c>
      <c r="N4" s="83">
        <v>5521.47265625</v>
      </c>
      <c r="O4" s="58" t="s">
        <v>66</v>
      </c>
      <c r="P4" s="84"/>
      <c r="Q4" s="84"/>
      <c r="R4" s="85">
        <f t="shared" si="0"/>
        <v>4</v>
      </c>
      <c r="S4" s="51">
        <v>1</v>
      </c>
      <c r="T4" s="51">
        <v>3</v>
      </c>
      <c r="U4" s="52">
        <v>1.666667</v>
      </c>
      <c r="V4" s="52">
        <v>0.058824</v>
      </c>
      <c r="W4" s="52">
        <v>0.125449</v>
      </c>
      <c r="X4" s="52">
        <v>1.019141</v>
      </c>
      <c r="Y4" s="52">
        <v>0.3333333333333333</v>
      </c>
      <c r="Z4" s="52">
        <v>0</v>
      </c>
      <c r="AA4" s="79">
        <v>4</v>
      </c>
      <c r="AB4" s="79"/>
      <c r="AC4" s="86"/>
      <c r="AD4"/>
      <c r="AE4" s="51"/>
      <c r="AF4" s="51"/>
      <c r="AG4" s="51"/>
      <c r="AH4" s="51"/>
      <c r="AI4" s="51"/>
      <c r="AJ4" s="51"/>
      <c r="AK4" s="104" t="s">
        <v>224</v>
      </c>
      <c r="AL4" s="104" t="s">
        <v>224</v>
      </c>
      <c r="AM4" s="104" t="s">
        <v>224</v>
      </c>
      <c r="AN4" s="104" t="s">
        <v>224</v>
      </c>
      <c r="AO4" s="2"/>
      <c r="AP4" s="3"/>
      <c r="AQ4" s="3"/>
      <c r="AR4" s="3"/>
      <c r="AS4" s="3"/>
    </row>
    <row r="5" spans="1:45" ht="15">
      <c r="A5" s="14" t="s">
        <v>180</v>
      </c>
      <c r="B5" s="15"/>
      <c r="C5" s="15"/>
      <c r="D5" s="81">
        <v>3</v>
      </c>
      <c r="E5" s="78">
        <v>50</v>
      </c>
      <c r="F5" s="15"/>
      <c r="G5" s="15"/>
      <c r="H5" s="16" t="s">
        <v>180</v>
      </c>
      <c r="I5" s="67"/>
      <c r="J5" s="67"/>
      <c r="K5" s="16" t="s">
        <v>229</v>
      </c>
      <c r="L5" s="82"/>
      <c r="M5" s="83">
        <v>2652.82397460937</v>
      </c>
      <c r="N5" s="83">
        <v>831.27197265625</v>
      </c>
      <c r="O5" s="58" t="s">
        <v>66</v>
      </c>
      <c r="P5" s="84"/>
      <c r="Q5" s="84"/>
      <c r="R5" s="85">
        <f t="shared" si="0"/>
        <v>3</v>
      </c>
      <c r="S5" s="51">
        <v>1</v>
      </c>
      <c r="T5" s="51">
        <v>2</v>
      </c>
      <c r="U5" s="52">
        <v>0</v>
      </c>
      <c r="V5" s="52">
        <v>0.055556</v>
      </c>
      <c r="W5" s="52">
        <v>0.101808</v>
      </c>
      <c r="X5" s="52">
        <v>0.794137</v>
      </c>
      <c r="Y5" s="52">
        <v>0.5</v>
      </c>
      <c r="Z5" s="52">
        <v>0</v>
      </c>
      <c r="AA5" s="79">
        <v>5</v>
      </c>
      <c r="AB5" s="79"/>
      <c r="AC5" s="86"/>
      <c r="AD5"/>
      <c r="AE5" s="51"/>
      <c r="AF5" s="51"/>
      <c r="AG5" s="51"/>
      <c r="AH5" s="51"/>
      <c r="AI5" s="51"/>
      <c r="AJ5" s="51"/>
      <c r="AK5" s="104" t="s">
        <v>224</v>
      </c>
      <c r="AL5" s="104" t="s">
        <v>224</v>
      </c>
      <c r="AM5" s="104" t="s">
        <v>224</v>
      </c>
      <c r="AN5" s="104" t="s">
        <v>224</v>
      </c>
      <c r="AO5" s="2"/>
      <c r="AP5" s="3"/>
      <c r="AQ5" s="3"/>
      <c r="AR5" s="3"/>
      <c r="AS5" s="3"/>
    </row>
    <row r="6" spans="1:45" ht="15">
      <c r="A6" s="14" t="s">
        <v>179</v>
      </c>
      <c r="B6" s="15"/>
      <c r="C6" s="15"/>
      <c r="D6" s="81">
        <v>6</v>
      </c>
      <c r="E6" s="78">
        <v>63.095237499999996</v>
      </c>
      <c r="F6" s="15"/>
      <c r="G6" s="15"/>
      <c r="H6" s="16" t="s">
        <v>179</v>
      </c>
      <c r="I6" s="67"/>
      <c r="J6" s="67"/>
      <c r="K6" s="16" t="s">
        <v>230</v>
      </c>
      <c r="L6" s="82"/>
      <c r="M6" s="83">
        <v>3423.50830078125</v>
      </c>
      <c r="N6" s="83">
        <v>4778.37158203125</v>
      </c>
      <c r="O6" s="58" t="s">
        <v>66</v>
      </c>
      <c r="P6" s="84"/>
      <c r="Q6" s="84"/>
      <c r="R6" s="85">
        <f t="shared" si="0"/>
        <v>6</v>
      </c>
      <c r="S6" s="51">
        <v>3</v>
      </c>
      <c r="T6" s="51">
        <v>3</v>
      </c>
      <c r="U6" s="52">
        <v>7.333333</v>
      </c>
      <c r="V6" s="52">
        <v>0.066667</v>
      </c>
      <c r="W6" s="52">
        <v>0.171329</v>
      </c>
      <c r="X6" s="52">
        <v>1.471392</v>
      </c>
      <c r="Y6" s="52">
        <v>0.26666666666666666</v>
      </c>
      <c r="Z6" s="52">
        <v>0</v>
      </c>
      <c r="AA6" s="79">
        <v>6</v>
      </c>
      <c r="AB6" s="79"/>
      <c r="AC6" s="86"/>
      <c r="AD6"/>
      <c r="AE6" s="51"/>
      <c r="AF6" s="51"/>
      <c r="AG6" s="51"/>
      <c r="AH6" s="51"/>
      <c r="AI6" s="51"/>
      <c r="AJ6" s="51"/>
      <c r="AK6" s="104" t="s">
        <v>224</v>
      </c>
      <c r="AL6" s="104" t="s">
        <v>224</v>
      </c>
      <c r="AM6" s="104" t="s">
        <v>224</v>
      </c>
      <c r="AN6" s="104" t="s">
        <v>224</v>
      </c>
      <c r="AO6" s="2"/>
      <c r="AP6" s="3"/>
      <c r="AQ6" s="3"/>
      <c r="AR6" s="3"/>
      <c r="AS6" s="3"/>
    </row>
    <row r="7" spans="1:45" ht="15">
      <c r="A7" s="14" t="s">
        <v>182</v>
      </c>
      <c r="B7" s="15"/>
      <c r="C7" s="15"/>
      <c r="D7" s="81">
        <v>3</v>
      </c>
      <c r="E7" s="78">
        <v>50</v>
      </c>
      <c r="F7" s="15"/>
      <c r="G7" s="15"/>
      <c r="H7" s="16" t="s">
        <v>182</v>
      </c>
      <c r="I7" s="67"/>
      <c r="J7" s="67"/>
      <c r="K7" s="16" t="s">
        <v>229</v>
      </c>
      <c r="L7" s="82"/>
      <c r="M7" s="83">
        <v>4337.62841796875</v>
      </c>
      <c r="N7" s="83">
        <v>7312.4931640625</v>
      </c>
      <c r="O7" s="58" t="s">
        <v>66</v>
      </c>
      <c r="P7" s="84"/>
      <c r="Q7" s="84"/>
      <c r="R7" s="85">
        <f t="shared" si="0"/>
        <v>3</v>
      </c>
      <c r="S7" s="51">
        <v>2</v>
      </c>
      <c r="T7" s="51">
        <v>1</v>
      </c>
      <c r="U7" s="52">
        <v>0</v>
      </c>
      <c r="V7" s="52">
        <v>0.055556</v>
      </c>
      <c r="W7" s="52">
        <v>0.101808</v>
      </c>
      <c r="X7" s="52">
        <v>0.794137</v>
      </c>
      <c r="Y7" s="52">
        <v>0.5</v>
      </c>
      <c r="Z7" s="52">
        <v>0</v>
      </c>
      <c r="AA7" s="79">
        <v>7</v>
      </c>
      <c r="AB7" s="79"/>
      <c r="AC7" s="86"/>
      <c r="AD7"/>
      <c r="AE7" s="51"/>
      <c r="AF7" s="51"/>
      <c r="AG7" s="51"/>
      <c r="AH7" s="51"/>
      <c r="AI7" s="51"/>
      <c r="AJ7" s="51"/>
      <c r="AK7" s="104" t="s">
        <v>224</v>
      </c>
      <c r="AL7" s="104" t="s">
        <v>224</v>
      </c>
      <c r="AM7" s="104" t="s">
        <v>224</v>
      </c>
      <c r="AN7" s="104" t="s">
        <v>224</v>
      </c>
      <c r="AO7" s="2"/>
      <c r="AP7" s="3"/>
      <c r="AQ7" s="3"/>
      <c r="AR7" s="3"/>
      <c r="AS7" s="3"/>
    </row>
    <row r="8" spans="1:45" ht="15">
      <c r="A8" s="14" t="s">
        <v>181</v>
      </c>
      <c r="B8" s="15"/>
      <c r="C8" s="15"/>
      <c r="D8" s="81">
        <v>5</v>
      </c>
      <c r="E8" s="78">
        <v>79.76190535714285</v>
      </c>
      <c r="F8" s="15"/>
      <c r="G8" s="15"/>
      <c r="H8" s="16" t="s">
        <v>181</v>
      </c>
      <c r="I8" s="67"/>
      <c r="J8" s="67"/>
      <c r="K8" s="16" t="s">
        <v>231</v>
      </c>
      <c r="L8" s="82"/>
      <c r="M8" s="83">
        <v>5758.83544921875</v>
      </c>
      <c r="N8" s="83">
        <v>2685.52612304687</v>
      </c>
      <c r="O8" s="58" t="s">
        <v>66</v>
      </c>
      <c r="P8" s="84"/>
      <c r="Q8" s="84"/>
      <c r="R8" s="85">
        <f t="shared" si="0"/>
        <v>5</v>
      </c>
      <c r="S8" s="51">
        <v>3</v>
      </c>
      <c r="T8" s="51">
        <v>2</v>
      </c>
      <c r="U8" s="52">
        <v>16.666667</v>
      </c>
      <c r="V8" s="52">
        <v>0.071429</v>
      </c>
      <c r="W8" s="52">
        <v>0.141648</v>
      </c>
      <c r="X8" s="52">
        <v>1.288996</v>
      </c>
      <c r="Y8" s="52">
        <v>0.25</v>
      </c>
      <c r="Z8" s="52">
        <v>0</v>
      </c>
      <c r="AA8" s="79">
        <v>8</v>
      </c>
      <c r="AB8" s="79"/>
      <c r="AC8" s="86"/>
      <c r="AD8"/>
      <c r="AE8" s="51"/>
      <c r="AF8" s="51"/>
      <c r="AG8" s="51"/>
      <c r="AH8" s="51"/>
      <c r="AI8" s="51"/>
      <c r="AJ8" s="51"/>
      <c r="AK8" s="104" t="s">
        <v>224</v>
      </c>
      <c r="AL8" s="104" t="s">
        <v>224</v>
      </c>
      <c r="AM8" s="104" t="s">
        <v>224</v>
      </c>
      <c r="AN8" s="104" t="s">
        <v>224</v>
      </c>
      <c r="AO8" s="2"/>
      <c r="AP8" s="3"/>
      <c r="AQ8" s="3"/>
      <c r="AR8" s="3"/>
      <c r="AS8" s="3"/>
    </row>
    <row r="9" spans="1:45" ht="15">
      <c r="A9" s="14" t="s">
        <v>183</v>
      </c>
      <c r="B9" s="15"/>
      <c r="C9" s="15"/>
      <c r="D9" s="81">
        <v>5</v>
      </c>
      <c r="E9" s="78">
        <v>79.76190535714285</v>
      </c>
      <c r="F9" s="15"/>
      <c r="G9" s="15"/>
      <c r="H9" s="16" t="s">
        <v>183</v>
      </c>
      <c r="I9" s="67"/>
      <c r="J9" s="67"/>
      <c r="K9" s="16" t="s">
        <v>231</v>
      </c>
      <c r="L9" s="82"/>
      <c r="M9" s="83">
        <v>6231.255859375</v>
      </c>
      <c r="N9" s="83">
        <v>5894.3974609375</v>
      </c>
      <c r="O9" s="58" t="s">
        <v>66</v>
      </c>
      <c r="P9" s="84"/>
      <c r="Q9" s="84"/>
      <c r="R9" s="85">
        <f t="shared" si="0"/>
        <v>5</v>
      </c>
      <c r="S9" s="51">
        <v>4</v>
      </c>
      <c r="T9" s="51">
        <v>1</v>
      </c>
      <c r="U9" s="52">
        <v>16.666667</v>
      </c>
      <c r="V9" s="52">
        <v>0.071429</v>
      </c>
      <c r="W9" s="52">
        <v>0.141648</v>
      </c>
      <c r="X9" s="52">
        <v>1.288996</v>
      </c>
      <c r="Y9" s="52">
        <v>0.25</v>
      </c>
      <c r="Z9" s="52">
        <v>0</v>
      </c>
      <c r="AA9" s="79">
        <v>9</v>
      </c>
      <c r="AB9" s="79"/>
      <c r="AC9" s="86"/>
      <c r="AD9"/>
      <c r="AE9" s="51"/>
      <c r="AF9" s="51"/>
      <c r="AG9" s="51"/>
      <c r="AH9" s="51"/>
      <c r="AI9" s="51"/>
      <c r="AJ9" s="51"/>
      <c r="AK9" s="104" t="s">
        <v>224</v>
      </c>
      <c r="AL9" s="104" t="s">
        <v>224</v>
      </c>
      <c r="AM9" s="104" t="s">
        <v>224</v>
      </c>
      <c r="AN9" s="104" t="s">
        <v>224</v>
      </c>
      <c r="AO9" s="2"/>
      <c r="AP9" s="3"/>
      <c r="AQ9" s="3"/>
      <c r="AR9" s="3"/>
      <c r="AS9" s="3"/>
    </row>
    <row r="10" spans="1:45" ht="15">
      <c r="A10" s="14" t="s">
        <v>184</v>
      </c>
      <c r="B10" s="15"/>
      <c r="C10" s="15"/>
      <c r="D10" s="81">
        <v>3</v>
      </c>
      <c r="E10" s="78">
        <v>100</v>
      </c>
      <c r="F10" s="15"/>
      <c r="G10" s="15"/>
      <c r="H10" s="16" t="s">
        <v>184</v>
      </c>
      <c r="I10" s="67"/>
      <c r="J10" s="67"/>
      <c r="K10" s="16" t="s">
        <v>230</v>
      </c>
      <c r="L10" s="82"/>
      <c r="M10" s="83">
        <v>7670.1064453125</v>
      </c>
      <c r="N10" s="83">
        <v>4632.03173828125</v>
      </c>
      <c r="O10" s="58" t="s">
        <v>66</v>
      </c>
      <c r="P10" s="84"/>
      <c r="Q10" s="84"/>
      <c r="R10" s="85">
        <f t="shared" si="0"/>
        <v>3</v>
      </c>
      <c r="S10" s="51">
        <v>2</v>
      </c>
      <c r="T10" s="51">
        <v>1</v>
      </c>
      <c r="U10" s="52">
        <v>28</v>
      </c>
      <c r="V10" s="52">
        <v>0.066667</v>
      </c>
      <c r="W10" s="52">
        <v>0.069761</v>
      </c>
      <c r="X10" s="52">
        <v>0.952439</v>
      </c>
      <c r="Y10" s="52">
        <v>0.16666666666666666</v>
      </c>
      <c r="Z10" s="52">
        <v>0</v>
      </c>
      <c r="AA10" s="79">
        <v>10</v>
      </c>
      <c r="AB10" s="79"/>
      <c r="AC10" s="86"/>
      <c r="AD10"/>
      <c r="AE10" s="51"/>
      <c r="AF10" s="51"/>
      <c r="AG10" s="51"/>
      <c r="AH10" s="51"/>
      <c r="AI10" s="51"/>
      <c r="AJ10" s="51"/>
      <c r="AK10" s="104" t="s">
        <v>224</v>
      </c>
      <c r="AL10" s="104" t="s">
        <v>224</v>
      </c>
      <c r="AM10" s="104" t="s">
        <v>224</v>
      </c>
      <c r="AN10" s="104" t="s">
        <v>224</v>
      </c>
      <c r="AO10" s="2"/>
      <c r="AP10" s="3"/>
      <c r="AQ10" s="3"/>
      <c r="AR10" s="3"/>
      <c r="AS10" s="3"/>
    </row>
    <row r="11" spans="1:45" ht="15">
      <c r="A11" s="14" t="s">
        <v>185</v>
      </c>
      <c r="B11" s="15"/>
      <c r="C11" s="15"/>
      <c r="D11" s="81">
        <v>2</v>
      </c>
      <c r="E11" s="78">
        <v>78.57142857142857</v>
      </c>
      <c r="F11" s="15"/>
      <c r="G11" s="15"/>
      <c r="H11" s="16" t="s">
        <v>185</v>
      </c>
      <c r="I11" s="67"/>
      <c r="J11" s="67"/>
      <c r="K11" s="16" t="s">
        <v>232</v>
      </c>
      <c r="L11" s="82"/>
      <c r="M11" s="83">
        <v>8259.880859375</v>
      </c>
      <c r="N11" s="83">
        <v>6403.955078125</v>
      </c>
      <c r="O11" s="58" t="s">
        <v>66</v>
      </c>
      <c r="P11" s="84"/>
      <c r="Q11" s="84"/>
      <c r="R11" s="85">
        <f t="shared" si="0"/>
        <v>2</v>
      </c>
      <c r="S11" s="51">
        <v>1</v>
      </c>
      <c r="T11" s="51">
        <v>1</v>
      </c>
      <c r="U11" s="52">
        <v>16</v>
      </c>
      <c r="V11" s="52">
        <v>0.047619</v>
      </c>
      <c r="W11" s="52">
        <v>0.017123</v>
      </c>
      <c r="X11" s="52">
        <v>0.85691</v>
      </c>
      <c r="Y11" s="52">
        <v>0</v>
      </c>
      <c r="Z11" s="52">
        <v>0</v>
      </c>
      <c r="AA11" s="79">
        <v>11</v>
      </c>
      <c r="AB11" s="79"/>
      <c r="AC11" s="86"/>
      <c r="AD11"/>
      <c r="AE11" s="51"/>
      <c r="AF11" s="51"/>
      <c r="AG11" s="51"/>
      <c r="AH11" s="51"/>
      <c r="AI11" s="51"/>
      <c r="AJ11" s="51"/>
      <c r="AK11" s="104" t="s">
        <v>224</v>
      </c>
      <c r="AL11" s="104" t="s">
        <v>224</v>
      </c>
      <c r="AM11" s="104" t="s">
        <v>224</v>
      </c>
      <c r="AN11" s="104" t="s">
        <v>224</v>
      </c>
      <c r="AO11" s="2"/>
      <c r="AP11" s="3"/>
      <c r="AQ11" s="3"/>
      <c r="AR11" s="3"/>
      <c r="AS11" s="3"/>
    </row>
    <row r="12" spans="1:45" ht="15">
      <c r="A12" s="87" t="s">
        <v>186</v>
      </c>
      <c r="B12" s="88"/>
      <c r="C12" s="88"/>
      <c r="D12" s="89">
        <v>1</v>
      </c>
      <c r="E12" s="90">
        <v>50</v>
      </c>
      <c r="F12" s="88"/>
      <c r="G12" s="88"/>
      <c r="H12" s="91" t="s">
        <v>186</v>
      </c>
      <c r="I12" s="92"/>
      <c r="J12" s="92"/>
      <c r="K12" s="91" t="s">
        <v>233</v>
      </c>
      <c r="L12" s="93"/>
      <c r="M12" s="94">
        <v>8823.0712890625</v>
      </c>
      <c r="N12" s="94">
        <v>8509.6162109375</v>
      </c>
      <c r="O12" s="58" t="s">
        <v>66</v>
      </c>
      <c r="P12" s="95"/>
      <c r="Q12" s="95"/>
      <c r="R12" s="96">
        <f t="shared" si="0"/>
        <v>1</v>
      </c>
      <c r="S12" s="51">
        <v>1</v>
      </c>
      <c r="T12" s="51">
        <v>0</v>
      </c>
      <c r="U12" s="52">
        <v>0</v>
      </c>
      <c r="V12" s="52">
        <v>0.034483</v>
      </c>
      <c r="W12" s="52">
        <v>0.003976</v>
      </c>
      <c r="X12" s="52">
        <v>0.514185</v>
      </c>
      <c r="Y12" s="52">
        <v>0</v>
      </c>
      <c r="Z12" s="52">
        <v>0</v>
      </c>
      <c r="AA12" s="97">
        <v>12</v>
      </c>
      <c r="AB12" s="97"/>
      <c r="AC12" s="98"/>
      <c r="AD12"/>
      <c r="AE12" s="51"/>
      <c r="AF12" s="51"/>
      <c r="AG12" s="51"/>
      <c r="AH12" s="51"/>
      <c r="AI12" s="51"/>
      <c r="AJ12" s="51"/>
      <c r="AK12" s="51"/>
      <c r="AL12" s="51"/>
      <c r="AM12" s="51"/>
      <c r="AN12" s="51"/>
      <c r="AO12" s="2"/>
      <c r="AP12" s="3"/>
      <c r="AQ12" s="3"/>
      <c r="AR12" s="3"/>
      <c r="AS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197</v>
      </c>
      <c r="Z2" s="13" t="s">
        <v>199</v>
      </c>
      <c r="AA2" s="13" t="s">
        <v>201</v>
      </c>
      <c r="AB2" s="13" t="s">
        <v>208</v>
      </c>
      <c r="AC2" s="13" t="s">
        <v>210</v>
      </c>
      <c r="AD2" s="13" t="s">
        <v>213</v>
      </c>
      <c r="AE2" s="13" t="s">
        <v>214</v>
      </c>
      <c r="AF2" s="13" t="s">
        <v>216</v>
      </c>
    </row>
    <row r="3" spans="1:32" ht="15">
      <c r="A3" s="14"/>
      <c r="B3" s="15"/>
      <c r="C3" s="15"/>
      <c r="D3" s="15"/>
      <c r="E3" s="15"/>
      <c r="F3" s="16"/>
      <c r="G3" s="77"/>
      <c r="H3" s="77"/>
      <c r="I3" s="64"/>
      <c r="J3" s="64"/>
      <c r="K3" s="48"/>
      <c r="L3" s="48"/>
      <c r="M3" s="48"/>
      <c r="N3" s="48"/>
      <c r="O3" s="48"/>
      <c r="P3" s="48"/>
      <c r="Q3" s="48"/>
      <c r="R3" s="48"/>
      <c r="S3" s="48"/>
      <c r="T3" s="48"/>
      <c r="U3" s="48"/>
      <c r="V3" s="48"/>
      <c r="W3" s="49"/>
      <c r="X3" s="49"/>
      <c r="Y3" s="99"/>
      <c r="Z3" s="99"/>
      <c r="AA3" s="99"/>
      <c r="AB3" s="99"/>
      <c r="AC3" s="99"/>
      <c r="AD3" s="99"/>
      <c r="AE3" s="99"/>
      <c r="AF3" s="9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Y30" sqref="Y3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190</v>
      </c>
      <c r="B2" s="36" t="s">
        <v>176</v>
      </c>
      <c r="D2" s="33">
        <f>MIN(Vertices[Degree])</f>
        <v>1</v>
      </c>
      <c r="E2" s="3">
        <f>COUNTIF(Vertices[Degree],"&gt;= "&amp;D2)-COUNTIF(Vertices[Degree],"&gt;="&amp;D3)</f>
        <v>1</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0.034483</v>
      </c>
      <c r="M2" s="40">
        <f>COUNTIF(Vertices[Closeness Centrality],"&gt;= "&amp;L2)-COUNTIF(Vertices[Closeness Centrality],"&gt;="&amp;L3)</f>
        <v>1</v>
      </c>
      <c r="N2" s="39">
        <f>MIN(Vertices[Eigenvector Centrality])</f>
        <v>0.003976</v>
      </c>
      <c r="O2" s="40">
        <f>COUNTIF(Vertices[Eigenvector Centrality],"&gt;= "&amp;N2)-COUNTIF(Vertices[Eigenvector Centrality],"&gt;="&amp;N3)</f>
        <v>1</v>
      </c>
      <c r="P2" s="39">
        <f>MIN(Vertices[PageRank])</f>
        <v>0.514185</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1:24" ht="15">
      <c r="A3" s="100"/>
      <c r="B3" s="100"/>
      <c r="D3" s="34">
        <f aca="true" t="shared" si="1" ref="D3:D44">D2+($D$45-$D$2)/BinDivisor</f>
        <v>1.1162790697674418</v>
      </c>
      <c r="E3" s="3">
        <f>COUNTIF(Vertices[Degree],"&gt;= "&amp;D3)-COUNTIF(Vertices[Degree],"&gt;="&amp;D4)</f>
        <v>0</v>
      </c>
      <c r="F3" s="41">
        <f aca="true" t="shared" si="2" ref="F3:F44">F2+($F$45-$F$2)/BinDivisor</f>
        <v>0.09302325581395349</v>
      </c>
      <c r="G3" s="42">
        <f>COUNTIF(Vertices[In-Degree],"&gt;= "&amp;F3)-COUNTIF(Vertices[In-Degree],"&gt;="&amp;F4)</f>
        <v>0</v>
      </c>
      <c r="H3" s="41">
        <f aca="true" t="shared" si="3" ref="H3:H44">H2+($H$45-$H$2)/BinDivisor</f>
        <v>0.09302325581395349</v>
      </c>
      <c r="I3" s="42">
        <f>COUNTIF(Vertices[Out-Degree],"&gt;= "&amp;H3)-COUNTIF(Vertices[Out-Degree],"&gt;="&amp;H4)</f>
        <v>0</v>
      </c>
      <c r="J3" s="41">
        <f aca="true" t="shared" si="4" ref="J3:J44">J2+($J$45-$J$2)/BinDivisor</f>
        <v>0.6511627906976745</v>
      </c>
      <c r="K3" s="42">
        <f>COUNTIF(Vertices[Betweenness Centrality],"&gt;= "&amp;J3)-COUNTIF(Vertices[Betweenness Centrality],"&gt;="&amp;J4)</f>
        <v>0</v>
      </c>
      <c r="L3" s="41">
        <f aca="true" t="shared" si="5" ref="L3:L44">L2+($L$45-$L$2)/BinDivisor</f>
        <v>0.03534220930232558</v>
      </c>
      <c r="M3" s="42">
        <f>COUNTIF(Vertices[Closeness Centrality],"&gt;= "&amp;L3)-COUNTIF(Vertices[Closeness Centrality],"&gt;="&amp;L4)</f>
        <v>0</v>
      </c>
      <c r="N3" s="41">
        <f aca="true" t="shared" si="6" ref="N3:N44">N2+($N$45-$N$2)/BinDivisor</f>
        <v>0.00786793023255814</v>
      </c>
      <c r="O3" s="42">
        <f>COUNTIF(Vertices[Eigenvector Centrality],"&gt;= "&amp;N3)-COUNTIF(Vertices[Eigenvector Centrality],"&gt;="&amp;N4)</f>
        <v>0</v>
      </c>
      <c r="P3" s="41">
        <f aca="true" t="shared" si="7" ref="P3:P44">P2+($P$45-$P$2)/BinDivisor</f>
        <v>0.5364456279069767</v>
      </c>
      <c r="Q3" s="42">
        <f>COUNTIF(Vertices[PageRank],"&gt;= "&amp;P3)-COUNTIF(Vertices[PageRank],"&gt;="&amp;P4)</f>
        <v>0</v>
      </c>
      <c r="R3" s="41">
        <f aca="true" t="shared" si="8" ref="R3:R44">R2+($R$45-$R$2)/BinDivisor</f>
        <v>0.011627906976744186</v>
      </c>
      <c r="S3" s="46">
        <f>COUNTIF(Vertices[Clustering Coefficient],"&gt;= "&amp;R3)-COUNTIF(Vertices[Clustering Coefficient],"&gt;="&amp;R4)</f>
        <v>0</v>
      </c>
      <c r="T3" s="41" t="e">
        <f aca="true" t="shared" si="9" ref="T3:T44">T2+($T$45-$T$2)/BinDivisor</f>
        <v>#REF!</v>
      </c>
      <c r="U3" s="42" t="e">
        <f ca="1" t="shared" si="0"/>
        <v>#REF!</v>
      </c>
      <c r="W3" t="s">
        <v>125</v>
      </c>
      <c r="X3" t="s">
        <v>85</v>
      </c>
    </row>
    <row r="4" spans="1:24" ht="15">
      <c r="A4" s="36" t="s">
        <v>146</v>
      </c>
      <c r="B4" s="36">
        <v>10</v>
      </c>
      <c r="D4" s="34">
        <f t="shared" si="1"/>
        <v>1.2325581395348837</v>
      </c>
      <c r="E4" s="3">
        <f>COUNTIF(Vertices[Degree],"&gt;= "&amp;D4)-COUNTIF(Vertices[Degree],"&gt;="&amp;D5)</f>
        <v>0</v>
      </c>
      <c r="F4" s="39">
        <f t="shared" si="2"/>
        <v>0.18604651162790697</v>
      </c>
      <c r="G4" s="40">
        <f>COUNTIF(Vertices[In-Degree],"&gt;= "&amp;F4)-COUNTIF(Vertices[In-Degree],"&gt;="&amp;F5)</f>
        <v>0</v>
      </c>
      <c r="H4" s="39">
        <f t="shared" si="3"/>
        <v>0.18604651162790697</v>
      </c>
      <c r="I4" s="40">
        <f>COUNTIF(Vertices[Out-Degree],"&gt;= "&amp;H4)-COUNTIF(Vertices[Out-Degree],"&gt;="&amp;H5)</f>
        <v>0</v>
      </c>
      <c r="J4" s="39">
        <f t="shared" si="4"/>
        <v>1.302325581395349</v>
      </c>
      <c r="K4" s="40">
        <f>COUNTIF(Vertices[Betweenness Centrality],"&gt;= "&amp;J4)-COUNTIF(Vertices[Betweenness Centrality],"&gt;="&amp;J5)</f>
        <v>2</v>
      </c>
      <c r="L4" s="39">
        <f t="shared" si="5"/>
        <v>0.03620141860465116</v>
      </c>
      <c r="M4" s="40">
        <f>COUNTIF(Vertices[Closeness Centrality],"&gt;= "&amp;L4)-COUNTIF(Vertices[Closeness Centrality],"&gt;="&amp;L5)</f>
        <v>0</v>
      </c>
      <c r="N4" s="39">
        <f t="shared" si="6"/>
        <v>0.01175986046511628</v>
      </c>
      <c r="O4" s="40">
        <f>COUNTIF(Vertices[Eigenvector Centrality],"&gt;= "&amp;N4)-COUNTIF(Vertices[Eigenvector Centrality],"&gt;="&amp;N5)</f>
        <v>0</v>
      </c>
      <c r="P4" s="39">
        <f t="shared" si="7"/>
        <v>0.5587062558139534</v>
      </c>
      <c r="Q4" s="40">
        <f>COUNTIF(Vertices[PageRank],"&gt;= "&amp;P4)-COUNTIF(Vertices[PageRank],"&gt;="&amp;P5)</f>
        <v>0</v>
      </c>
      <c r="R4" s="39">
        <f t="shared" si="8"/>
        <v>0.023255813953488372</v>
      </c>
      <c r="S4" s="45">
        <f>COUNTIF(Vertices[Clustering Coefficient],"&gt;= "&amp;R4)-COUNTIF(Vertices[Clustering Coefficient],"&gt;="&amp;R5)</f>
        <v>0</v>
      </c>
      <c r="T4" s="39" t="e">
        <f ca="1" t="shared" si="9"/>
        <v>#REF!</v>
      </c>
      <c r="U4" s="40" t="e">
        <f ca="1" t="shared" si="0"/>
        <v>#REF!</v>
      </c>
      <c r="W4" s="12" t="s">
        <v>126</v>
      </c>
      <c r="X4" s="12" t="s">
        <v>128</v>
      </c>
    </row>
    <row r="5" spans="1:21" ht="15">
      <c r="A5" s="100"/>
      <c r="B5" s="100"/>
      <c r="D5" s="34">
        <f t="shared" si="1"/>
        <v>1.3488372093023255</v>
      </c>
      <c r="E5" s="3">
        <f>COUNTIF(Vertices[Degree],"&gt;= "&amp;D5)-COUNTIF(Vertices[Degree],"&gt;="&amp;D6)</f>
        <v>0</v>
      </c>
      <c r="F5" s="41">
        <f t="shared" si="2"/>
        <v>0.27906976744186046</v>
      </c>
      <c r="G5" s="42">
        <f>COUNTIF(Vertices[In-Degree],"&gt;= "&amp;F5)-COUNTIF(Vertices[In-Degree],"&gt;="&amp;F6)</f>
        <v>0</v>
      </c>
      <c r="H5" s="41">
        <f t="shared" si="3"/>
        <v>0.27906976744186046</v>
      </c>
      <c r="I5" s="42">
        <f>COUNTIF(Vertices[Out-Degree],"&gt;= "&amp;H5)-COUNTIF(Vertices[Out-Degree],"&gt;="&amp;H6)</f>
        <v>0</v>
      </c>
      <c r="J5" s="41">
        <f t="shared" si="4"/>
        <v>1.9534883720930234</v>
      </c>
      <c r="K5" s="42">
        <f>COUNTIF(Vertices[Betweenness Centrality],"&gt;= "&amp;J5)-COUNTIF(Vertices[Betweenness Centrality],"&gt;="&amp;J6)</f>
        <v>0</v>
      </c>
      <c r="L5" s="41">
        <f t="shared" si="5"/>
        <v>0.03706062790697674</v>
      </c>
      <c r="M5" s="42">
        <f>COUNTIF(Vertices[Closeness Centrality],"&gt;= "&amp;L5)-COUNTIF(Vertices[Closeness Centrality],"&gt;="&amp;L6)</f>
        <v>0</v>
      </c>
      <c r="N5" s="41">
        <f t="shared" si="6"/>
        <v>0.015651790697674417</v>
      </c>
      <c r="O5" s="42">
        <f>COUNTIF(Vertices[Eigenvector Centrality],"&gt;= "&amp;N5)-COUNTIF(Vertices[Eigenvector Centrality],"&gt;="&amp;N6)</f>
        <v>1</v>
      </c>
      <c r="P5" s="41">
        <f t="shared" si="7"/>
        <v>0.5809668837209301</v>
      </c>
      <c r="Q5" s="42">
        <f>COUNTIF(Vertices[PageRank],"&gt;= "&amp;P5)-COUNTIF(Vertices[PageRank],"&gt;="&amp;P6)</f>
        <v>0</v>
      </c>
      <c r="R5" s="41">
        <f t="shared" si="8"/>
        <v>0.03488372093023256</v>
      </c>
      <c r="S5" s="46">
        <f>COUNTIF(Vertices[Clustering Coefficient],"&gt;= "&amp;R5)-COUNTIF(Vertices[Clustering Coefficient],"&gt;="&amp;R6)</f>
        <v>0</v>
      </c>
      <c r="T5" s="41" t="e">
        <f ca="1" t="shared" si="9"/>
        <v>#REF!</v>
      </c>
      <c r="U5" s="42" t="e">
        <f ca="1" t="shared" si="0"/>
        <v>#REF!</v>
      </c>
    </row>
    <row r="6" spans="1:21" ht="15">
      <c r="A6" s="36" t="s">
        <v>148</v>
      </c>
      <c r="B6" s="36">
        <v>18</v>
      </c>
      <c r="D6" s="34">
        <f t="shared" si="1"/>
        <v>1.4651162790697674</v>
      </c>
      <c r="E6" s="3">
        <f>COUNTIF(Vertices[Degree],"&gt;= "&amp;D6)-COUNTIF(Vertices[Degree],"&gt;="&amp;D7)</f>
        <v>0</v>
      </c>
      <c r="F6" s="39">
        <f t="shared" si="2"/>
        <v>0.37209302325581395</v>
      </c>
      <c r="G6" s="40">
        <f>COUNTIF(Vertices[In-Degree],"&gt;= "&amp;F6)-COUNTIF(Vertices[In-Degree],"&gt;="&amp;F7)</f>
        <v>0</v>
      </c>
      <c r="H6" s="39">
        <f t="shared" si="3"/>
        <v>0.37209302325581395</v>
      </c>
      <c r="I6" s="40">
        <f>COUNTIF(Vertices[Out-Degree],"&gt;= "&amp;H6)-COUNTIF(Vertices[Out-Degree],"&gt;="&amp;H7)</f>
        <v>0</v>
      </c>
      <c r="J6" s="39">
        <f t="shared" si="4"/>
        <v>2.604651162790698</v>
      </c>
      <c r="K6" s="40">
        <f>COUNTIF(Vertices[Betweenness Centrality],"&gt;= "&amp;J6)-COUNTIF(Vertices[Betweenness Centrality],"&gt;="&amp;J7)</f>
        <v>0</v>
      </c>
      <c r="L6" s="39">
        <f t="shared" si="5"/>
        <v>0.03791983720930232</v>
      </c>
      <c r="M6" s="40">
        <f>COUNTIF(Vertices[Closeness Centrality],"&gt;= "&amp;L6)-COUNTIF(Vertices[Closeness Centrality],"&gt;="&amp;L7)</f>
        <v>0</v>
      </c>
      <c r="N6" s="39">
        <f t="shared" si="6"/>
        <v>0.019543720930232558</v>
      </c>
      <c r="O6" s="40">
        <f>COUNTIF(Vertices[Eigenvector Centrality],"&gt;= "&amp;N6)-COUNTIF(Vertices[Eigenvector Centrality],"&gt;="&amp;N7)</f>
        <v>0</v>
      </c>
      <c r="P6" s="39">
        <f t="shared" si="7"/>
        <v>0.6032275116279068</v>
      </c>
      <c r="Q6" s="40">
        <f>COUNTIF(Vertices[PageRank],"&gt;= "&amp;P6)-COUNTIF(Vertices[PageRank],"&gt;="&amp;P7)</f>
        <v>0</v>
      </c>
      <c r="R6" s="39">
        <f t="shared" si="8"/>
        <v>0.046511627906976744</v>
      </c>
      <c r="S6" s="45">
        <f>COUNTIF(Vertices[Clustering Coefficient],"&gt;= "&amp;R6)-COUNTIF(Vertices[Clustering Coefficient],"&gt;="&amp;R7)</f>
        <v>0</v>
      </c>
      <c r="T6" s="39" t="e">
        <f ca="1" t="shared" si="9"/>
        <v>#REF!</v>
      </c>
      <c r="U6" s="40" t="e">
        <f ca="1" t="shared" si="0"/>
        <v>#REF!</v>
      </c>
    </row>
    <row r="7" spans="1:21" ht="15">
      <c r="A7" s="36" t="s">
        <v>149</v>
      </c>
      <c r="B7" s="36">
        <v>0</v>
      </c>
      <c r="D7" s="34">
        <f t="shared" si="1"/>
        <v>1.5813953488372092</v>
      </c>
      <c r="E7" s="3">
        <f>COUNTIF(Vertices[Degree],"&gt;= "&amp;D7)-COUNTIF(Vertices[Degree],"&gt;="&amp;D8)</f>
        <v>0</v>
      </c>
      <c r="F7" s="41">
        <f t="shared" si="2"/>
        <v>0.46511627906976744</v>
      </c>
      <c r="G7" s="42">
        <f>COUNTIF(Vertices[In-Degree],"&gt;= "&amp;F7)-COUNTIF(Vertices[In-Degree],"&gt;="&amp;F8)</f>
        <v>0</v>
      </c>
      <c r="H7" s="41">
        <f t="shared" si="3"/>
        <v>0.46511627906976744</v>
      </c>
      <c r="I7" s="42">
        <f>COUNTIF(Vertices[Out-Degree],"&gt;= "&amp;H7)-COUNTIF(Vertices[Out-Degree],"&gt;="&amp;H8)</f>
        <v>0</v>
      </c>
      <c r="J7" s="41">
        <f t="shared" si="4"/>
        <v>3.2558139534883725</v>
      </c>
      <c r="K7" s="42">
        <f>COUNTIF(Vertices[Betweenness Centrality],"&gt;= "&amp;J7)-COUNTIF(Vertices[Betweenness Centrality],"&gt;="&amp;J8)</f>
        <v>0</v>
      </c>
      <c r="L7" s="41">
        <f t="shared" si="5"/>
        <v>0.038779046511627904</v>
      </c>
      <c r="M7" s="42">
        <f>COUNTIF(Vertices[Closeness Centrality],"&gt;= "&amp;L7)-COUNTIF(Vertices[Closeness Centrality],"&gt;="&amp;L8)</f>
        <v>0</v>
      </c>
      <c r="N7" s="41">
        <f t="shared" si="6"/>
        <v>0.0234356511627907</v>
      </c>
      <c r="O7" s="42">
        <f>COUNTIF(Vertices[Eigenvector Centrality],"&gt;= "&amp;N7)-COUNTIF(Vertices[Eigenvector Centrality],"&gt;="&amp;N8)</f>
        <v>0</v>
      </c>
      <c r="P7" s="41">
        <f t="shared" si="7"/>
        <v>0.6254881395348835</v>
      </c>
      <c r="Q7" s="42">
        <f>COUNTIF(Vertices[PageRank],"&gt;= "&amp;P7)-COUNTIF(Vertices[PageRank],"&gt;="&amp;P8)</f>
        <v>0</v>
      </c>
      <c r="R7" s="41">
        <f t="shared" si="8"/>
        <v>0.05813953488372093</v>
      </c>
      <c r="S7" s="46">
        <f>COUNTIF(Vertices[Clustering Coefficient],"&gt;= "&amp;R7)-COUNTIF(Vertices[Clustering Coefficient],"&gt;="&amp;R8)</f>
        <v>0</v>
      </c>
      <c r="T7" s="41" t="e">
        <f ca="1" t="shared" si="9"/>
        <v>#REF!</v>
      </c>
      <c r="U7" s="42" t="e">
        <f ca="1" t="shared" si="0"/>
        <v>#REF!</v>
      </c>
    </row>
    <row r="8" spans="1:21" ht="15">
      <c r="A8" s="36" t="s">
        <v>150</v>
      </c>
      <c r="B8" s="36">
        <v>18</v>
      </c>
      <c r="D8" s="34">
        <f t="shared" si="1"/>
        <v>1.697674418604651</v>
      </c>
      <c r="E8" s="3">
        <f>COUNTIF(Vertices[Degree],"&gt;= "&amp;D8)-COUNTIF(Vertices[Degree],"&gt;="&amp;D9)</f>
        <v>0</v>
      </c>
      <c r="F8" s="39">
        <f t="shared" si="2"/>
        <v>0.5581395348837209</v>
      </c>
      <c r="G8" s="40">
        <f>COUNTIF(Vertices[In-Degree],"&gt;= "&amp;F8)-COUNTIF(Vertices[In-Degree],"&gt;="&amp;F9)</f>
        <v>0</v>
      </c>
      <c r="H8" s="39">
        <f t="shared" si="3"/>
        <v>0.5581395348837209</v>
      </c>
      <c r="I8" s="40">
        <f>COUNTIF(Vertices[Out-Degree],"&gt;= "&amp;H8)-COUNTIF(Vertices[Out-Degree],"&gt;="&amp;H9)</f>
        <v>0</v>
      </c>
      <c r="J8" s="39">
        <f t="shared" si="4"/>
        <v>3.9069767441860472</v>
      </c>
      <c r="K8" s="40">
        <f>COUNTIF(Vertices[Betweenness Centrality],"&gt;= "&amp;J8)-COUNTIF(Vertices[Betweenness Centrality],"&gt;="&amp;J9)</f>
        <v>0</v>
      </c>
      <c r="L8" s="39">
        <f t="shared" si="5"/>
        <v>0.039638255813953485</v>
      </c>
      <c r="M8" s="40">
        <f>COUNTIF(Vertices[Closeness Centrality],"&gt;= "&amp;L8)-COUNTIF(Vertices[Closeness Centrality],"&gt;="&amp;L9)</f>
        <v>0</v>
      </c>
      <c r="N8" s="39">
        <f t="shared" si="6"/>
        <v>0.02732758139534884</v>
      </c>
      <c r="O8" s="40">
        <f>COUNTIF(Vertices[Eigenvector Centrality],"&gt;= "&amp;N8)-COUNTIF(Vertices[Eigenvector Centrality],"&gt;="&amp;N9)</f>
        <v>0</v>
      </c>
      <c r="P8" s="39">
        <f t="shared" si="7"/>
        <v>0.6477487674418602</v>
      </c>
      <c r="Q8" s="40">
        <f>COUNTIF(Vertices[PageRank],"&gt;= "&amp;P8)-COUNTIF(Vertices[PageRank],"&gt;="&amp;P9)</f>
        <v>0</v>
      </c>
      <c r="R8" s="39">
        <f t="shared" si="8"/>
        <v>0.06976744186046512</v>
      </c>
      <c r="S8" s="45">
        <f>COUNTIF(Vertices[Clustering Coefficient],"&gt;= "&amp;R8)-COUNTIF(Vertices[Clustering Coefficient],"&gt;="&amp;R9)</f>
        <v>0</v>
      </c>
      <c r="T8" s="39" t="e">
        <f ca="1" t="shared" si="9"/>
        <v>#REF!</v>
      </c>
      <c r="U8" s="40" t="e">
        <f ca="1" t="shared" si="0"/>
        <v>#REF!</v>
      </c>
    </row>
    <row r="9" spans="1:21" ht="15">
      <c r="A9" s="100"/>
      <c r="B9" s="100"/>
      <c r="D9" s="34">
        <f t="shared" si="1"/>
        <v>1.813953488372093</v>
      </c>
      <c r="E9" s="3">
        <f>COUNTIF(Vertices[Degree],"&gt;= "&amp;D9)-COUNTIF(Vertices[Degree],"&gt;="&amp;D10)</f>
        <v>0</v>
      </c>
      <c r="F9" s="41">
        <f t="shared" si="2"/>
        <v>0.6511627906976745</v>
      </c>
      <c r="G9" s="42">
        <f>COUNTIF(Vertices[In-Degree],"&gt;= "&amp;F9)-COUNTIF(Vertices[In-Degree],"&gt;="&amp;F10)</f>
        <v>0</v>
      </c>
      <c r="H9" s="41">
        <f t="shared" si="3"/>
        <v>0.6511627906976745</v>
      </c>
      <c r="I9" s="42">
        <f>COUNTIF(Vertices[Out-Degree],"&gt;= "&amp;H9)-COUNTIF(Vertices[Out-Degree],"&gt;="&amp;H10)</f>
        <v>0</v>
      </c>
      <c r="J9" s="41">
        <f t="shared" si="4"/>
        <v>4.558139534883722</v>
      </c>
      <c r="K9" s="42">
        <f>COUNTIF(Vertices[Betweenness Centrality],"&gt;= "&amp;J9)-COUNTIF(Vertices[Betweenness Centrality],"&gt;="&amp;J10)</f>
        <v>0</v>
      </c>
      <c r="L9" s="41">
        <f t="shared" si="5"/>
        <v>0.040497465116279066</v>
      </c>
      <c r="M9" s="42">
        <f>COUNTIF(Vertices[Closeness Centrality],"&gt;= "&amp;L9)-COUNTIF(Vertices[Closeness Centrality],"&gt;="&amp;L10)</f>
        <v>0</v>
      </c>
      <c r="N9" s="41">
        <f t="shared" si="6"/>
        <v>0.031219511627906982</v>
      </c>
      <c r="O9" s="42">
        <f>COUNTIF(Vertices[Eigenvector Centrality],"&gt;= "&amp;N9)-COUNTIF(Vertices[Eigenvector Centrality],"&gt;="&amp;N10)</f>
        <v>0</v>
      </c>
      <c r="P9" s="41">
        <f t="shared" si="7"/>
        <v>0.6700093953488369</v>
      </c>
      <c r="Q9" s="42">
        <f>COUNTIF(Vertices[PageRank],"&gt;= "&amp;P9)-COUNTIF(Vertices[PageRank],"&gt;="&amp;P10)</f>
        <v>0</v>
      </c>
      <c r="R9" s="41">
        <f t="shared" si="8"/>
        <v>0.08139534883720931</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1.9302325581395348</v>
      </c>
      <c r="E10" s="3">
        <f>COUNTIF(Vertices[Degree],"&gt;= "&amp;D10)-COUNTIF(Vertices[Degree],"&gt;="&amp;D11)</f>
        <v>1</v>
      </c>
      <c r="F10" s="39">
        <f t="shared" si="2"/>
        <v>0.7441860465116279</v>
      </c>
      <c r="G10" s="40">
        <f>COUNTIF(Vertices[In-Degree],"&gt;= "&amp;F10)-COUNTIF(Vertices[In-Degree],"&gt;="&amp;F11)</f>
        <v>0</v>
      </c>
      <c r="H10" s="39">
        <f t="shared" si="3"/>
        <v>0.7441860465116279</v>
      </c>
      <c r="I10" s="40">
        <f>COUNTIF(Vertices[Out-Degree],"&gt;= "&amp;H10)-COUNTIF(Vertices[Out-Degree],"&gt;="&amp;H11)</f>
        <v>0</v>
      </c>
      <c r="J10" s="39">
        <f t="shared" si="4"/>
        <v>5.209302325581397</v>
      </c>
      <c r="K10" s="40">
        <f>COUNTIF(Vertices[Betweenness Centrality],"&gt;= "&amp;J10)-COUNTIF(Vertices[Betweenness Centrality],"&gt;="&amp;J11)</f>
        <v>0</v>
      </c>
      <c r="L10" s="39">
        <f t="shared" si="5"/>
        <v>0.04135667441860465</v>
      </c>
      <c r="M10" s="40">
        <f>COUNTIF(Vertices[Closeness Centrality],"&gt;= "&amp;L10)-COUNTIF(Vertices[Closeness Centrality],"&gt;="&amp;L11)</f>
        <v>0</v>
      </c>
      <c r="N10" s="39">
        <f t="shared" si="6"/>
        <v>0.03511144186046512</v>
      </c>
      <c r="O10" s="40">
        <f>COUNTIF(Vertices[Eigenvector Centrality],"&gt;= "&amp;N10)-COUNTIF(Vertices[Eigenvector Centrality],"&gt;="&amp;N11)</f>
        <v>0</v>
      </c>
      <c r="P10" s="39">
        <f t="shared" si="7"/>
        <v>0.6922700232558135</v>
      </c>
      <c r="Q10" s="40">
        <f>COUNTIF(Vertices[PageRank],"&gt;= "&amp;P10)-COUNTIF(Vertices[PageRank],"&gt;="&amp;P11)</f>
        <v>0</v>
      </c>
      <c r="R10" s="39">
        <f t="shared" si="8"/>
        <v>0.09302325581395349</v>
      </c>
      <c r="S10" s="45">
        <f>COUNTIF(Vertices[Clustering Coefficient],"&gt;= "&amp;R10)-COUNTIF(Vertices[Clustering Coefficient],"&gt;="&amp;R11)</f>
        <v>0</v>
      </c>
      <c r="T10" s="39" t="e">
        <f ca="1" t="shared" si="9"/>
        <v>#REF!</v>
      </c>
      <c r="U10" s="40" t="e">
        <f ca="1" t="shared" si="0"/>
        <v>#REF!</v>
      </c>
    </row>
    <row r="11" spans="1:21" ht="15">
      <c r="A11" s="100"/>
      <c r="B11" s="100"/>
      <c r="D11" s="34">
        <f t="shared" si="1"/>
        <v>2.046511627906977</v>
      </c>
      <c r="E11" s="3">
        <f>COUNTIF(Vertices[Degree],"&gt;= "&amp;D11)-COUNTIF(Vertices[Degree],"&gt;="&amp;D12)</f>
        <v>0</v>
      </c>
      <c r="F11" s="41">
        <f t="shared" si="2"/>
        <v>0.8372093023255813</v>
      </c>
      <c r="G11" s="42">
        <f>COUNTIF(Vertices[In-Degree],"&gt;= "&amp;F11)-COUNTIF(Vertices[In-Degree],"&gt;="&amp;F12)</f>
        <v>0</v>
      </c>
      <c r="H11" s="41">
        <f t="shared" si="3"/>
        <v>0.8372093023255813</v>
      </c>
      <c r="I11" s="42">
        <f>COUNTIF(Vertices[Out-Degree],"&gt;= "&amp;H11)-COUNTIF(Vertices[Out-Degree],"&gt;="&amp;H12)</f>
        <v>0</v>
      </c>
      <c r="J11" s="41">
        <f t="shared" si="4"/>
        <v>5.860465116279071</v>
      </c>
      <c r="K11" s="42">
        <f>COUNTIF(Vertices[Betweenness Centrality],"&gt;= "&amp;J11)-COUNTIF(Vertices[Betweenness Centrality],"&gt;="&amp;J12)</f>
        <v>0</v>
      </c>
      <c r="L11" s="41">
        <f t="shared" si="5"/>
        <v>0.04221588372093023</v>
      </c>
      <c r="M11" s="42">
        <f>COUNTIF(Vertices[Closeness Centrality],"&gt;= "&amp;L11)-COUNTIF(Vertices[Closeness Centrality],"&gt;="&amp;L12)</f>
        <v>0</v>
      </c>
      <c r="N11" s="41">
        <f t="shared" si="6"/>
        <v>0.039003372093023264</v>
      </c>
      <c r="O11" s="42">
        <f>COUNTIF(Vertices[Eigenvector Centrality],"&gt;= "&amp;N11)-COUNTIF(Vertices[Eigenvector Centrality],"&gt;="&amp;N12)</f>
        <v>0</v>
      </c>
      <c r="P11" s="41">
        <f t="shared" si="7"/>
        <v>0.7145306511627902</v>
      </c>
      <c r="Q11" s="42">
        <f>COUNTIF(Vertices[PageRank],"&gt;= "&amp;P11)-COUNTIF(Vertices[PageRank],"&gt;="&amp;P12)</f>
        <v>0</v>
      </c>
      <c r="R11" s="41">
        <f t="shared" si="8"/>
        <v>0.10465116279069767</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2.162790697674419</v>
      </c>
      <c r="E12" s="3">
        <f>COUNTIF(Vertices[Degree],"&gt;= "&amp;D12)-COUNTIF(Vertices[Degree],"&gt;="&amp;D13)</f>
        <v>0</v>
      </c>
      <c r="F12" s="39">
        <f t="shared" si="2"/>
        <v>0.9302325581395348</v>
      </c>
      <c r="G12" s="40">
        <f>COUNTIF(Vertices[In-Degree],"&gt;= "&amp;F12)-COUNTIF(Vertices[In-Degree],"&gt;="&amp;F13)</f>
        <v>4</v>
      </c>
      <c r="H12" s="39">
        <f t="shared" si="3"/>
        <v>0.9302325581395348</v>
      </c>
      <c r="I12" s="40">
        <f>COUNTIF(Vertices[Out-Degree],"&gt;= "&amp;H12)-COUNTIF(Vertices[Out-Degree],"&gt;="&amp;H13)</f>
        <v>4</v>
      </c>
      <c r="J12" s="39">
        <f t="shared" si="4"/>
        <v>6.511627906976746</v>
      </c>
      <c r="K12" s="40">
        <f>COUNTIF(Vertices[Betweenness Centrality],"&gt;= "&amp;J12)-COUNTIF(Vertices[Betweenness Centrality],"&gt;="&amp;J13)</f>
        <v>0</v>
      </c>
      <c r="L12" s="39">
        <f t="shared" si="5"/>
        <v>0.04307509302325581</v>
      </c>
      <c r="M12" s="40">
        <f>COUNTIF(Vertices[Closeness Centrality],"&gt;= "&amp;L12)-COUNTIF(Vertices[Closeness Centrality],"&gt;="&amp;L13)</f>
        <v>0</v>
      </c>
      <c r="N12" s="39">
        <f t="shared" si="6"/>
        <v>0.042895302325581405</v>
      </c>
      <c r="O12" s="40">
        <f>COUNTIF(Vertices[Eigenvector Centrality],"&gt;= "&amp;N12)-COUNTIF(Vertices[Eigenvector Centrality],"&gt;="&amp;N13)</f>
        <v>0</v>
      </c>
      <c r="P12" s="39">
        <f t="shared" si="7"/>
        <v>0.7367912790697669</v>
      </c>
      <c r="Q12" s="40">
        <f>COUNTIF(Vertices[PageRank],"&gt;= "&amp;P12)-COUNTIF(Vertices[PageRank],"&gt;="&amp;P13)</f>
        <v>0</v>
      </c>
      <c r="R12" s="39">
        <f t="shared" si="8"/>
        <v>0.11627906976744184</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2.279069767441861</v>
      </c>
      <c r="E13" s="3">
        <f>COUNTIF(Vertices[Degree],"&gt;= "&amp;D13)-COUNTIF(Vertices[Degree],"&gt;="&amp;D14)</f>
        <v>0</v>
      </c>
      <c r="F13" s="41">
        <f t="shared" si="2"/>
        <v>1.0232558139534882</v>
      </c>
      <c r="G13" s="42">
        <f>COUNTIF(Vertices[In-Degree],"&gt;= "&amp;F13)-COUNTIF(Vertices[In-Degree],"&gt;="&amp;F14)</f>
        <v>0</v>
      </c>
      <c r="H13" s="41">
        <f t="shared" si="3"/>
        <v>1.0232558139534882</v>
      </c>
      <c r="I13" s="42">
        <f>COUNTIF(Vertices[Out-Degree],"&gt;= "&amp;H13)-COUNTIF(Vertices[Out-Degree],"&gt;="&amp;H14)</f>
        <v>0</v>
      </c>
      <c r="J13" s="41">
        <f t="shared" si="4"/>
        <v>7.162790697674421</v>
      </c>
      <c r="K13" s="42">
        <f>COUNTIF(Vertices[Betweenness Centrality],"&gt;= "&amp;J13)-COUNTIF(Vertices[Betweenness Centrality],"&gt;="&amp;J14)</f>
        <v>1</v>
      </c>
      <c r="L13" s="41">
        <f t="shared" si="5"/>
        <v>0.04393430232558139</v>
      </c>
      <c r="M13" s="42">
        <f>COUNTIF(Vertices[Closeness Centrality],"&gt;= "&amp;L13)-COUNTIF(Vertices[Closeness Centrality],"&gt;="&amp;L14)</f>
        <v>0</v>
      </c>
      <c r="N13" s="41">
        <f t="shared" si="6"/>
        <v>0.046787232558139547</v>
      </c>
      <c r="O13" s="42">
        <f>COUNTIF(Vertices[Eigenvector Centrality],"&gt;= "&amp;N13)-COUNTIF(Vertices[Eigenvector Centrality],"&gt;="&amp;N14)</f>
        <v>0</v>
      </c>
      <c r="P13" s="41">
        <f t="shared" si="7"/>
        <v>0.7590519069767436</v>
      </c>
      <c r="Q13" s="42">
        <f>COUNTIF(Vertices[PageRank],"&gt;= "&amp;P13)-COUNTIF(Vertices[PageRank],"&gt;="&amp;P14)</f>
        <v>0</v>
      </c>
      <c r="R13" s="41">
        <f t="shared" si="8"/>
        <v>0.12790697674418602</v>
      </c>
      <c r="S13" s="46">
        <f>COUNTIF(Vertices[Clustering Coefficient],"&gt;= "&amp;R13)-COUNTIF(Vertices[Clustering Coefficient],"&gt;="&amp;R14)</f>
        <v>0</v>
      </c>
      <c r="T13" s="41" t="e">
        <f ca="1" t="shared" si="9"/>
        <v>#REF!</v>
      </c>
      <c r="U13" s="42" t="e">
        <f ca="1" t="shared" si="0"/>
        <v>#REF!</v>
      </c>
    </row>
    <row r="14" spans="1:21" ht="15">
      <c r="A14" s="100"/>
      <c r="B14" s="100"/>
      <c r="D14" s="34">
        <f t="shared" si="1"/>
        <v>2.395348837209303</v>
      </c>
      <c r="E14" s="3">
        <f>COUNTIF(Vertices[Degree],"&gt;= "&amp;D14)-COUNTIF(Vertices[Degree],"&gt;="&amp;D15)</f>
        <v>0</v>
      </c>
      <c r="F14" s="39">
        <f t="shared" si="2"/>
        <v>1.1162790697674416</v>
      </c>
      <c r="G14" s="40">
        <f>COUNTIF(Vertices[In-Degree],"&gt;= "&amp;F14)-COUNTIF(Vertices[In-Degree],"&gt;="&amp;F15)</f>
        <v>0</v>
      </c>
      <c r="H14" s="39">
        <f t="shared" si="3"/>
        <v>1.1162790697674416</v>
      </c>
      <c r="I14" s="40">
        <f>COUNTIF(Vertices[Out-Degree],"&gt;= "&amp;H14)-COUNTIF(Vertices[Out-Degree],"&gt;="&amp;H15)</f>
        <v>0</v>
      </c>
      <c r="J14" s="39">
        <f t="shared" si="4"/>
        <v>7.813953488372095</v>
      </c>
      <c r="K14" s="40">
        <f>COUNTIF(Vertices[Betweenness Centrality],"&gt;= "&amp;J14)-COUNTIF(Vertices[Betweenness Centrality],"&gt;="&amp;J15)</f>
        <v>0</v>
      </c>
      <c r="L14" s="39">
        <f t="shared" si="5"/>
        <v>0.04479351162790697</v>
      </c>
      <c r="M14" s="40">
        <f>COUNTIF(Vertices[Closeness Centrality],"&gt;= "&amp;L14)-COUNTIF(Vertices[Closeness Centrality],"&gt;="&amp;L15)</f>
        <v>0</v>
      </c>
      <c r="N14" s="39">
        <f t="shared" si="6"/>
        <v>0.05067916279069769</v>
      </c>
      <c r="O14" s="40">
        <f>COUNTIF(Vertices[Eigenvector Centrality],"&gt;= "&amp;N14)-COUNTIF(Vertices[Eigenvector Centrality],"&gt;="&amp;N15)</f>
        <v>0</v>
      </c>
      <c r="P14" s="39">
        <f t="shared" si="7"/>
        <v>0.7813125348837203</v>
      </c>
      <c r="Q14" s="40">
        <f>COUNTIF(Vertices[PageRank],"&gt;= "&amp;P14)-COUNTIF(Vertices[PageRank],"&gt;="&amp;P15)</f>
        <v>2</v>
      </c>
      <c r="R14" s="39">
        <f t="shared" si="8"/>
        <v>0.1395348837209302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2.511627906976745</v>
      </c>
      <c r="E15" s="3">
        <f>COUNTIF(Vertices[Degree],"&gt;= "&amp;D15)-COUNTIF(Vertices[Degree],"&gt;="&amp;D16)</f>
        <v>0</v>
      </c>
      <c r="F15" s="41">
        <f t="shared" si="2"/>
        <v>1.209302325581395</v>
      </c>
      <c r="G15" s="42">
        <f>COUNTIF(Vertices[In-Degree],"&gt;= "&amp;F15)-COUNTIF(Vertices[In-Degree],"&gt;="&amp;F16)</f>
        <v>0</v>
      </c>
      <c r="H15" s="41">
        <f t="shared" si="3"/>
        <v>1.209302325581395</v>
      </c>
      <c r="I15" s="42">
        <f>COUNTIF(Vertices[Out-Degree],"&gt;= "&amp;H15)-COUNTIF(Vertices[Out-Degree],"&gt;="&amp;H16)</f>
        <v>0</v>
      </c>
      <c r="J15" s="41">
        <f t="shared" si="4"/>
        <v>8.46511627906977</v>
      </c>
      <c r="K15" s="42">
        <f>COUNTIF(Vertices[Betweenness Centrality],"&gt;= "&amp;J15)-COUNTIF(Vertices[Betweenness Centrality],"&gt;="&amp;J16)</f>
        <v>0</v>
      </c>
      <c r="L15" s="41">
        <f t="shared" si="5"/>
        <v>0.04565272093023255</v>
      </c>
      <c r="M15" s="42">
        <f>COUNTIF(Vertices[Closeness Centrality],"&gt;= "&amp;L15)-COUNTIF(Vertices[Closeness Centrality],"&gt;="&amp;L16)</f>
        <v>0</v>
      </c>
      <c r="N15" s="41">
        <f t="shared" si="6"/>
        <v>0.05457109302325583</v>
      </c>
      <c r="O15" s="42">
        <f>COUNTIF(Vertices[Eigenvector Centrality],"&gt;= "&amp;N15)-COUNTIF(Vertices[Eigenvector Centrality],"&gt;="&amp;N16)</f>
        <v>0</v>
      </c>
      <c r="P15" s="41">
        <f t="shared" si="7"/>
        <v>0.803573162790697</v>
      </c>
      <c r="Q15" s="42">
        <f>COUNTIF(Vertices[PageRank],"&gt;= "&amp;P15)-COUNTIF(Vertices[PageRank],"&gt;="&amp;P16)</f>
        <v>0</v>
      </c>
      <c r="R15" s="41">
        <f t="shared" si="8"/>
        <v>0.15116279069767438</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2.627906976744187</v>
      </c>
      <c r="E16" s="3">
        <f>COUNTIF(Vertices[Degree],"&gt;= "&amp;D16)-COUNTIF(Vertices[Degree],"&gt;="&amp;D17)</f>
        <v>0</v>
      </c>
      <c r="F16" s="39">
        <f t="shared" si="2"/>
        <v>1.3023255813953485</v>
      </c>
      <c r="G16" s="40">
        <f>COUNTIF(Vertices[In-Degree],"&gt;= "&amp;F16)-COUNTIF(Vertices[In-Degree],"&gt;="&amp;F17)</f>
        <v>0</v>
      </c>
      <c r="H16" s="39">
        <f t="shared" si="3"/>
        <v>1.3023255813953485</v>
      </c>
      <c r="I16" s="40">
        <f>COUNTIF(Vertices[Out-Degree],"&gt;= "&amp;H16)-COUNTIF(Vertices[Out-Degree],"&gt;="&amp;H17)</f>
        <v>0</v>
      </c>
      <c r="J16" s="39">
        <f t="shared" si="4"/>
        <v>9.116279069767444</v>
      </c>
      <c r="K16" s="40">
        <f>COUNTIF(Vertices[Betweenness Centrality],"&gt;= "&amp;J16)-COUNTIF(Vertices[Betweenness Centrality],"&gt;="&amp;J17)</f>
        <v>0</v>
      </c>
      <c r="L16" s="39">
        <f t="shared" si="5"/>
        <v>0.04651193023255813</v>
      </c>
      <c r="M16" s="40">
        <f>COUNTIF(Vertices[Closeness Centrality],"&gt;= "&amp;L16)-COUNTIF(Vertices[Closeness Centrality],"&gt;="&amp;L17)</f>
        <v>0</v>
      </c>
      <c r="N16" s="39">
        <f t="shared" si="6"/>
        <v>0.05846302325581397</v>
      </c>
      <c r="O16" s="40">
        <f>COUNTIF(Vertices[Eigenvector Centrality],"&gt;= "&amp;N16)-COUNTIF(Vertices[Eigenvector Centrality],"&gt;="&amp;N17)</f>
        <v>0</v>
      </c>
      <c r="P16" s="39">
        <f t="shared" si="7"/>
        <v>0.8258337906976737</v>
      </c>
      <c r="Q16" s="40">
        <f>COUNTIF(Vertices[PageRank],"&gt;= "&amp;P16)-COUNTIF(Vertices[PageRank],"&gt;="&amp;P17)</f>
        <v>0</v>
      </c>
      <c r="R16" s="39">
        <f t="shared" si="8"/>
        <v>0.16279069767441856</v>
      </c>
      <c r="S16" s="45">
        <f>COUNTIF(Vertices[Clustering Coefficient],"&gt;= "&amp;R16)-COUNTIF(Vertices[Clustering Coefficient],"&gt;="&amp;R17)</f>
        <v>1</v>
      </c>
      <c r="T16" s="39" t="e">
        <f ca="1" t="shared" si="9"/>
        <v>#REF!</v>
      </c>
      <c r="U16" s="40" t="e">
        <f ca="1" t="shared" si="0"/>
        <v>#REF!</v>
      </c>
    </row>
    <row r="17" spans="1:21" ht="15">
      <c r="A17" s="36" t="s">
        <v>154</v>
      </c>
      <c r="B17" s="36">
        <v>10</v>
      </c>
      <c r="D17" s="34">
        <f t="shared" si="1"/>
        <v>2.7441860465116292</v>
      </c>
      <c r="E17" s="3">
        <f>COUNTIF(Vertices[Degree],"&gt;= "&amp;D17)-COUNTIF(Vertices[Degree],"&gt;="&amp;D18)</f>
        <v>0</v>
      </c>
      <c r="F17" s="41">
        <f t="shared" si="2"/>
        <v>1.395348837209302</v>
      </c>
      <c r="G17" s="42">
        <f>COUNTIF(Vertices[In-Degree],"&gt;= "&amp;F17)-COUNTIF(Vertices[In-Degree],"&gt;="&amp;F18)</f>
        <v>0</v>
      </c>
      <c r="H17" s="41">
        <f t="shared" si="3"/>
        <v>1.395348837209302</v>
      </c>
      <c r="I17" s="42">
        <f>COUNTIF(Vertices[Out-Degree],"&gt;= "&amp;H17)-COUNTIF(Vertices[Out-Degree],"&gt;="&amp;H18)</f>
        <v>0</v>
      </c>
      <c r="J17" s="41">
        <f t="shared" si="4"/>
        <v>9.767441860465118</v>
      </c>
      <c r="K17" s="42">
        <f>COUNTIF(Vertices[Betweenness Centrality],"&gt;= "&amp;J17)-COUNTIF(Vertices[Betweenness Centrality],"&gt;="&amp;J18)</f>
        <v>0</v>
      </c>
      <c r="L17" s="41">
        <f t="shared" si="5"/>
        <v>0.04737113953488371</v>
      </c>
      <c r="M17" s="42">
        <f>COUNTIF(Vertices[Closeness Centrality],"&gt;= "&amp;L17)-COUNTIF(Vertices[Closeness Centrality],"&gt;="&amp;L18)</f>
        <v>1</v>
      </c>
      <c r="N17" s="41">
        <f t="shared" si="6"/>
        <v>0.06235495348837211</v>
      </c>
      <c r="O17" s="42">
        <f>COUNTIF(Vertices[Eigenvector Centrality],"&gt;= "&amp;N17)-COUNTIF(Vertices[Eigenvector Centrality],"&gt;="&amp;N18)</f>
        <v>0</v>
      </c>
      <c r="P17" s="41">
        <f t="shared" si="7"/>
        <v>0.8480944186046504</v>
      </c>
      <c r="Q17" s="42">
        <f>COUNTIF(Vertices[PageRank],"&gt;= "&amp;P17)-COUNTIF(Vertices[PageRank],"&gt;="&amp;P18)</f>
        <v>1</v>
      </c>
      <c r="R17" s="41">
        <f t="shared" si="8"/>
        <v>0.17441860465116274</v>
      </c>
      <c r="S17" s="46">
        <f>COUNTIF(Vertices[Clustering Coefficient],"&gt;= "&amp;R17)-COUNTIF(Vertices[Clustering Coefficient],"&gt;="&amp;R18)</f>
        <v>0</v>
      </c>
      <c r="T17" s="41" t="e">
        <f ca="1" t="shared" si="9"/>
        <v>#REF!</v>
      </c>
      <c r="U17" s="42" t="e">
        <f ca="1" t="shared" si="0"/>
        <v>#REF!</v>
      </c>
    </row>
    <row r="18" spans="1:21" ht="15">
      <c r="A18" s="36" t="s">
        <v>155</v>
      </c>
      <c r="B18" s="36">
        <v>18</v>
      </c>
      <c r="D18" s="34">
        <f t="shared" si="1"/>
        <v>2.8604651162790713</v>
      </c>
      <c r="E18" s="3">
        <f>COUNTIF(Vertices[Degree],"&gt;= "&amp;D18)-COUNTIF(Vertices[Degree],"&gt;="&amp;D19)</f>
        <v>0</v>
      </c>
      <c r="F18" s="39">
        <f t="shared" si="2"/>
        <v>1.4883720930232553</v>
      </c>
      <c r="G18" s="40">
        <f>COUNTIF(Vertices[In-Degree],"&gt;= "&amp;F18)-COUNTIF(Vertices[In-Degree],"&gt;="&amp;F19)</f>
        <v>0</v>
      </c>
      <c r="H18" s="39">
        <f t="shared" si="3"/>
        <v>1.4883720930232553</v>
      </c>
      <c r="I18" s="40">
        <f>COUNTIF(Vertices[Out-Degree],"&gt;= "&amp;H18)-COUNTIF(Vertices[Out-Degree],"&gt;="&amp;H19)</f>
        <v>0</v>
      </c>
      <c r="J18" s="39">
        <f t="shared" si="4"/>
        <v>10.418604651162791</v>
      </c>
      <c r="K18" s="40">
        <f>COUNTIF(Vertices[Betweenness Centrality],"&gt;= "&amp;J18)-COUNTIF(Vertices[Betweenness Centrality],"&gt;="&amp;J19)</f>
        <v>0</v>
      </c>
      <c r="L18" s="39">
        <f t="shared" si="5"/>
        <v>0.048230348837209294</v>
      </c>
      <c r="M18" s="40">
        <f>COUNTIF(Vertices[Closeness Centrality],"&gt;= "&amp;L18)-COUNTIF(Vertices[Closeness Centrality],"&gt;="&amp;L19)</f>
        <v>0</v>
      </c>
      <c r="N18" s="39">
        <f t="shared" si="6"/>
        <v>0.06624688372093025</v>
      </c>
      <c r="O18" s="40">
        <f>COUNTIF(Vertices[Eigenvector Centrality],"&gt;= "&amp;N18)-COUNTIF(Vertices[Eigenvector Centrality],"&gt;="&amp;N19)</f>
        <v>1</v>
      </c>
      <c r="P18" s="39">
        <f t="shared" si="7"/>
        <v>0.8703550465116271</v>
      </c>
      <c r="Q18" s="40">
        <f>COUNTIF(Vertices[PageRank],"&gt;= "&amp;P18)-COUNTIF(Vertices[PageRank],"&gt;="&amp;P19)</f>
        <v>0</v>
      </c>
      <c r="R18" s="39">
        <f t="shared" si="8"/>
        <v>0.18604651162790692</v>
      </c>
      <c r="S18" s="45">
        <f>COUNTIF(Vertices[Clustering Coefficient],"&gt;= "&amp;R18)-COUNTIF(Vertices[Clustering Coefficient],"&gt;="&amp;R19)</f>
        <v>0</v>
      </c>
      <c r="T18" s="39" t="e">
        <f ca="1" t="shared" si="9"/>
        <v>#REF!</v>
      </c>
      <c r="U18" s="40" t="e">
        <f ca="1" t="shared" si="0"/>
        <v>#REF!</v>
      </c>
    </row>
    <row r="19" spans="1:21" ht="15">
      <c r="A19" s="100"/>
      <c r="B19" s="100"/>
      <c r="D19" s="34">
        <f t="shared" si="1"/>
        <v>2.9767441860465134</v>
      </c>
      <c r="E19" s="3">
        <f>COUNTIF(Vertices[Degree],"&gt;= "&amp;D19)-COUNTIF(Vertices[Degree],"&gt;="&amp;D20)</f>
        <v>3</v>
      </c>
      <c r="F19" s="41">
        <f t="shared" si="2"/>
        <v>1.5813953488372088</v>
      </c>
      <c r="G19" s="42">
        <f>COUNTIF(Vertices[In-Degree],"&gt;= "&amp;F19)-COUNTIF(Vertices[In-Degree],"&gt;="&amp;F20)</f>
        <v>0</v>
      </c>
      <c r="H19" s="41">
        <f t="shared" si="3"/>
        <v>1.5813953488372088</v>
      </c>
      <c r="I19" s="42">
        <f>COUNTIF(Vertices[Out-Degree],"&gt;= "&amp;H19)-COUNTIF(Vertices[Out-Degree],"&gt;="&amp;H20)</f>
        <v>0</v>
      </c>
      <c r="J19" s="41">
        <f t="shared" si="4"/>
        <v>11.069767441860465</v>
      </c>
      <c r="K19" s="42">
        <f>COUNTIF(Vertices[Betweenness Centrality],"&gt;= "&amp;J19)-COUNTIF(Vertices[Betweenness Centrality],"&gt;="&amp;J20)</f>
        <v>0</v>
      </c>
      <c r="L19" s="41">
        <f t="shared" si="5"/>
        <v>0.049089558139534875</v>
      </c>
      <c r="M19" s="42">
        <f>COUNTIF(Vertices[Closeness Centrality],"&gt;= "&amp;L19)-COUNTIF(Vertices[Closeness Centrality],"&gt;="&amp;L20)</f>
        <v>0</v>
      </c>
      <c r="N19" s="41">
        <f t="shared" si="6"/>
        <v>0.0701388139534884</v>
      </c>
      <c r="O19" s="42">
        <f>COUNTIF(Vertices[Eigenvector Centrality],"&gt;= "&amp;N19)-COUNTIF(Vertices[Eigenvector Centrality],"&gt;="&amp;N20)</f>
        <v>0</v>
      </c>
      <c r="P19" s="41">
        <f t="shared" si="7"/>
        <v>0.8926156744186038</v>
      </c>
      <c r="Q19" s="42">
        <f>COUNTIF(Vertices[PageRank],"&gt;= "&amp;P19)-COUNTIF(Vertices[PageRank],"&gt;="&amp;P20)</f>
        <v>0</v>
      </c>
      <c r="R19" s="41">
        <f t="shared" si="8"/>
        <v>0.1976744186046511</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3.0930232558139554</v>
      </c>
      <c r="E20" s="3">
        <f>COUNTIF(Vertices[Degree],"&gt;= "&amp;D20)-COUNTIF(Vertices[Degree],"&gt;="&amp;D21)</f>
        <v>0</v>
      </c>
      <c r="F20" s="39">
        <f t="shared" si="2"/>
        <v>1.6744186046511622</v>
      </c>
      <c r="G20" s="40">
        <f>COUNTIF(Vertices[In-Degree],"&gt;= "&amp;F20)-COUNTIF(Vertices[In-Degree],"&gt;="&amp;F21)</f>
        <v>0</v>
      </c>
      <c r="H20" s="39">
        <f t="shared" si="3"/>
        <v>1.6744186046511622</v>
      </c>
      <c r="I20" s="40">
        <f>COUNTIF(Vertices[Out-Degree],"&gt;= "&amp;H20)-COUNTIF(Vertices[Out-Degree],"&gt;="&amp;H21)</f>
        <v>0</v>
      </c>
      <c r="J20" s="39">
        <f t="shared" si="4"/>
        <v>11.720930232558139</v>
      </c>
      <c r="K20" s="40">
        <f>COUNTIF(Vertices[Betweenness Centrality],"&gt;= "&amp;J20)-COUNTIF(Vertices[Betweenness Centrality],"&gt;="&amp;J21)</f>
        <v>0</v>
      </c>
      <c r="L20" s="39">
        <f t="shared" si="5"/>
        <v>0.049948767441860456</v>
      </c>
      <c r="M20" s="40">
        <f>COUNTIF(Vertices[Closeness Centrality],"&gt;= "&amp;L20)-COUNTIF(Vertices[Closeness Centrality],"&gt;="&amp;L21)</f>
        <v>0</v>
      </c>
      <c r="N20" s="39">
        <f t="shared" si="6"/>
        <v>0.07403074418604653</v>
      </c>
      <c r="O20" s="40">
        <f>COUNTIF(Vertices[Eigenvector Centrality],"&gt;= "&amp;N20)-COUNTIF(Vertices[Eigenvector Centrality],"&gt;="&amp;N21)</f>
        <v>0</v>
      </c>
      <c r="P20" s="39">
        <f t="shared" si="7"/>
        <v>0.9148763023255805</v>
      </c>
      <c r="Q20" s="40">
        <f>COUNTIF(Vertices[PageRank],"&gt;= "&amp;P20)-COUNTIF(Vertices[PageRank],"&gt;="&amp;P21)</f>
        <v>0</v>
      </c>
      <c r="R20" s="39">
        <f t="shared" si="8"/>
        <v>0.20930232558139528</v>
      </c>
      <c r="S20" s="45">
        <f>COUNTIF(Vertices[Clustering Coefficient],"&gt;= "&amp;R20)-COUNTIF(Vertices[Clustering Coefficient],"&gt;="&amp;R21)</f>
        <v>0</v>
      </c>
      <c r="T20" s="39" t="e">
        <f ca="1" t="shared" si="9"/>
        <v>#REF!</v>
      </c>
      <c r="U20" s="40" t="e">
        <f ca="1" t="shared" si="0"/>
        <v>#REF!</v>
      </c>
    </row>
    <row r="21" spans="1:21" ht="15">
      <c r="A21" s="36" t="s">
        <v>157</v>
      </c>
      <c r="B21" s="36">
        <v>1.78</v>
      </c>
      <c r="D21" s="34">
        <f t="shared" si="1"/>
        <v>3.2093023255813975</v>
      </c>
      <c r="E21" s="3">
        <f>COUNTIF(Vertices[Degree],"&gt;= "&amp;D21)-COUNTIF(Vertices[Degree],"&gt;="&amp;D22)</f>
        <v>0</v>
      </c>
      <c r="F21" s="41">
        <f t="shared" si="2"/>
        <v>1.7674418604651156</v>
      </c>
      <c r="G21" s="42">
        <f>COUNTIF(Vertices[In-Degree],"&gt;= "&amp;F21)-COUNTIF(Vertices[In-Degree],"&gt;="&amp;F22)</f>
        <v>0</v>
      </c>
      <c r="H21" s="41">
        <f t="shared" si="3"/>
        <v>1.7674418604651156</v>
      </c>
      <c r="I21" s="42">
        <f>COUNTIF(Vertices[Out-Degree],"&gt;= "&amp;H21)-COUNTIF(Vertices[Out-Degree],"&gt;="&amp;H22)</f>
        <v>0</v>
      </c>
      <c r="J21" s="41">
        <f t="shared" si="4"/>
        <v>12.372093023255813</v>
      </c>
      <c r="K21" s="42">
        <f>COUNTIF(Vertices[Betweenness Centrality],"&gt;= "&amp;J21)-COUNTIF(Vertices[Betweenness Centrality],"&gt;="&amp;J22)</f>
        <v>0</v>
      </c>
      <c r="L21" s="41">
        <f t="shared" si="5"/>
        <v>0.05080797674418604</v>
      </c>
      <c r="M21" s="42">
        <f>COUNTIF(Vertices[Closeness Centrality],"&gt;= "&amp;L21)-COUNTIF(Vertices[Closeness Centrality],"&gt;="&amp;L22)</f>
        <v>0</v>
      </c>
      <c r="N21" s="41">
        <f t="shared" si="6"/>
        <v>0.07792267441860468</v>
      </c>
      <c r="O21" s="42">
        <f>COUNTIF(Vertices[Eigenvector Centrality],"&gt;= "&amp;N21)-COUNTIF(Vertices[Eigenvector Centrality],"&gt;="&amp;N22)</f>
        <v>0</v>
      </c>
      <c r="P21" s="41">
        <f t="shared" si="7"/>
        <v>0.9371369302325572</v>
      </c>
      <c r="Q21" s="42">
        <f>COUNTIF(Vertices[PageRank],"&gt;= "&amp;P21)-COUNTIF(Vertices[PageRank],"&gt;="&amp;P22)</f>
        <v>1</v>
      </c>
      <c r="R21" s="41">
        <f t="shared" si="8"/>
        <v>0.22093023255813946</v>
      </c>
      <c r="S21" s="46">
        <f>COUNTIF(Vertices[Clustering Coefficient],"&gt;= "&amp;R21)-COUNTIF(Vertices[Clustering Coefficient],"&gt;="&amp;R22)</f>
        <v>0</v>
      </c>
      <c r="T21" s="41" t="e">
        <f ca="1" t="shared" si="9"/>
        <v>#REF!</v>
      </c>
      <c r="U21" s="42" t="e">
        <f ca="1" t="shared" si="0"/>
        <v>#REF!</v>
      </c>
    </row>
    <row r="22" spans="1:21" ht="15">
      <c r="A22" s="100"/>
      <c r="B22" s="100"/>
      <c r="D22" s="34">
        <f t="shared" si="1"/>
        <v>3.3255813953488396</v>
      </c>
      <c r="E22" s="3">
        <f>COUNTIF(Vertices[Degree],"&gt;= "&amp;D22)-COUNTIF(Vertices[Degree],"&gt;="&amp;D23)</f>
        <v>0</v>
      </c>
      <c r="F22" s="39">
        <f t="shared" si="2"/>
        <v>1.860465116279069</v>
      </c>
      <c r="G22" s="40">
        <f>COUNTIF(Vertices[In-Degree],"&gt;= "&amp;F22)-COUNTIF(Vertices[In-Degree],"&gt;="&amp;F23)</f>
        <v>0</v>
      </c>
      <c r="H22" s="39">
        <f t="shared" si="3"/>
        <v>1.860465116279069</v>
      </c>
      <c r="I22" s="40">
        <f>COUNTIF(Vertices[Out-Degree],"&gt;= "&amp;H22)-COUNTIF(Vertices[Out-Degree],"&gt;="&amp;H23)</f>
        <v>0</v>
      </c>
      <c r="J22" s="39">
        <f t="shared" si="4"/>
        <v>13.023255813953487</v>
      </c>
      <c r="K22" s="40">
        <f>COUNTIF(Vertices[Betweenness Centrality],"&gt;= "&amp;J22)-COUNTIF(Vertices[Betweenness Centrality],"&gt;="&amp;J23)</f>
        <v>0</v>
      </c>
      <c r="L22" s="39">
        <f t="shared" si="5"/>
        <v>0.05166718604651162</v>
      </c>
      <c r="M22" s="40">
        <f>COUNTIF(Vertices[Closeness Centrality],"&gt;= "&amp;L22)-COUNTIF(Vertices[Closeness Centrality],"&gt;="&amp;L23)</f>
        <v>0</v>
      </c>
      <c r="N22" s="39">
        <f t="shared" si="6"/>
        <v>0.08181460465116282</v>
      </c>
      <c r="O22" s="40">
        <f>COUNTIF(Vertices[Eigenvector Centrality],"&gt;= "&amp;N22)-COUNTIF(Vertices[Eigenvector Centrality],"&gt;="&amp;N23)</f>
        <v>0</v>
      </c>
      <c r="P22" s="39">
        <f t="shared" si="7"/>
        <v>0.9593975581395339</v>
      </c>
      <c r="Q22" s="40">
        <f>COUNTIF(Vertices[PageRank],"&gt;= "&amp;P22)-COUNTIF(Vertices[PageRank],"&gt;="&amp;P23)</f>
        <v>0</v>
      </c>
      <c r="R22" s="39">
        <f t="shared" si="8"/>
        <v>0.23255813953488363</v>
      </c>
      <c r="S22" s="45">
        <f>COUNTIF(Vertices[Clustering Coefficient],"&gt;= "&amp;R22)-COUNTIF(Vertices[Clustering Coefficient],"&gt;="&amp;R23)</f>
        <v>0</v>
      </c>
      <c r="T22" s="39" t="e">
        <f ca="1" t="shared" si="9"/>
        <v>#REF!</v>
      </c>
      <c r="U22" s="40" t="e">
        <f ca="1" t="shared" si="0"/>
        <v>#REF!</v>
      </c>
    </row>
    <row r="23" spans="1:21" ht="15">
      <c r="A23" s="36" t="s">
        <v>158</v>
      </c>
      <c r="B23" s="36">
        <v>0.2</v>
      </c>
      <c r="D23" s="34">
        <f t="shared" si="1"/>
        <v>3.4418604651162816</v>
      </c>
      <c r="E23" s="3">
        <f>COUNTIF(Vertices[Degree],"&gt;= "&amp;D23)-COUNTIF(Vertices[Degree],"&gt;="&amp;D24)</f>
        <v>0</v>
      </c>
      <c r="F23" s="41">
        <f t="shared" si="2"/>
        <v>1.9534883720930225</v>
      </c>
      <c r="G23" s="42">
        <f>COUNTIF(Vertices[In-Degree],"&gt;= "&amp;F23)-COUNTIF(Vertices[In-Degree],"&gt;="&amp;F24)</f>
        <v>2</v>
      </c>
      <c r="H23" s="41">
        <f t="shared" si="3"/>
        <v>1.9534883720930225</v>
      </c>
      <c r="I23" s="42">
        <f>COUNTIF(Vertices[Out-Degree],"&gt;= "&amp;H23)-COUNTIF(Vertices[Out-Degree],"&gt;="&amp;H24)</f>
        <v>2</v>
      </c>
      <c r="J23" s="41">
        <f t="shared" si="4"/>
        <v>13.67441860465116</v>
      </c>
      <c r="K23" s="42">
        <f>COUNTIF(Vertices[Betweenness Centrality],"&gt;= "&amp;J23)-COUNTIF(Vertices[Betweenness Centrality],"&gt;="&amp;J24)</f>
        <v>0</v>
      </c>
      <c r="L23" s="41">
        <f t="shared" si="5"/>
        <v>0.0525263953488372</v>
      </c>
      <c r="M23" s="42">
        <f>COUNTIF(Vertices[Closeness Centrality],"&gt;= "&amp;L23)-COUNTIF(Vertices[Closeness Centrality],"&gt;="&amp;L24)</f>
        <v>0</v>
      </c>
      <c r="N23" s="41">
        <f t="shared" si="6"/>
        <v>0.08570653488372096</v>
      </c>
      <c r="O23" s="42">
        <f>COUNTIF(Vertices[Eigenvector Centrality],"&gt;= "&amp;N23)-COUNTIF(Vertices[Eigenvector Centrality],"&gt;="&amp;N24)</f>
        <v>0</v>
      </c>
      <c r="P23" s="41">
        <f t="shared" si="7"/>
        <v>0.9816581860465106</v>
      </c>
      <c r="Q23" s="42">
        <f>COUNTIF(Vertices[PageRank],"&gt;= "&amp;P23)-COUNTIF(Vertices[PageRank],"&gt;="&amp;P24)</f>
        <v>0</v>
      </c>
      <c r="R23" s="41">
        <f t="shared" si="8"/>
        <v>0.2441860465116278</v>
      </c>
      <c r="S23" s="46">
        <f>COUNTIF(Vertices[Clustering Coefficient],"&gt;= "&amp;R23)-COUNTIF(Vertices[Clustering Coefficient],"&gt;="&amp;R24)</f>
        <v>2</v>
      </c>
      <c r="T23" s="41" t="e">
        <f ca="1" t="shared" si="9"/>
        <v>#REF!</v>
      </c>
      <c r="U23" s="42" t="e">
        <f ca="1" t="shared" si="0"/>
        <v>#REF!</v>
      </c>
    </row>
    <row r="24" spans="1:21" ht="15">
      <c r="A24" s="36" t="s">
        <v>191</v>
      </c>
      <c r="B24" s="36" t="s">
        <v>193</v>
      </c>
      <c r="D24" s="34">
        <f t="shared" si="1"/>
        <v>3.5581395348837237</v>
      </c>
      <c r="E24" s="3">
        <f>COUNTIF(Vertices[Degree],"&gt;= "&amp;D24)-COUNTIF(Vertices[Degree],"&gt;="&amp;D25)</f>
        <v>0</v>
      </c>
      <c r="F24" s="39">
        <f t="shared" si="2"/>
        <v>2.046511627906976</v>
      </c>
      <c r="G24" s="40">
        <f>COUNTIF(Vertices[In-Degree],"&gt;= "&amp;F24)-COUNTIF(Vertices[In-Degree],"&gt;="&amp;F25)</f>
        <v>0</v>
      </c>
      <c r="H24" s="39">
        <f t="shared" si="3"/>
        <v>2.046511627906976</v>
      </c>
      <c r="I24" s="40">
        <f>COUNTIF(Vertices[Out-Degree],"&gt;= "&amp;H24)-COUNTIF(Vertices[Out-Degree],"&gt;="&amp;H25)</f>
        <v>0</v>
      </c>
      <c r="J24" s="39">
        <f t="shared" si="4"/>
        <v>14.325581395348834</v>
      </c>
      <c r="K24" s="40">
        <f>COUNTIF(Vertices[Betweenness Centrality],"&gt;= "&amp;J24)-COUNTIF(Vertices[Betweenness Centrality],"&gt;="&amp;J25)</f>
        <v>0</v>
      </c>
      <c r="L24" s="39">
        <f t="shared" si="5"/>
        <v>0.05338560465116278</v>
      </c>
      <c r="M24" s="40">
        <f>COUNTIF(Vertices[Closeness Centrality],"&gt;= "&amp;L24)-COUNTIF(Vertices[Closeness Centrality],"&gt;="&amp;L25)</f>
        <v>0</v>
      </c>
      <c r="N24" s="39">
        <f t="shared" si="6"/>
        <v>0.0895984651162791</v>
      </c>
      <c r="O24" s="40">
        <f>COUNTIF(Vertices[Eigenvector Centrality],"&gt;= "&amp;N24)-COUNTIF(Vertices[Eigenvector Centrality],"&gt;="&amp;N25)</f>
        <v>0</v>
      </c>
      <c r="P24" s="39">
        <f t="shared" si="7"/>
        <v>1.0039188139534874</v>
      </c>
      <c r="Q24" s="40">
        <f>COUNTIF(Vertices[PageRank],"&gt;= "&amp;P24)-COUNTIF(Vertices[PageRank],"&gt;="&amp;P25)</f>
        <v>2</v>
      </c>
      <c r="R24" s="39">
        <f t="shared" si="8"/>
        <v>0.255813953488372</v>
      </c>
      <c r="S24" s="45">
        <f>COUNTIF(Vertices[Clustering Coefficient],"&gt;= "&amp;R24)-COUNTIF(Vertices[Clustering Coefficient],"&gt;="&amp;R25)</f>
        <v>1</v>
      </c>
      <c r="T24" s="39" t="e">
        <f ca="1" t="shared" si="9"/>
        <v>#REF!</v>
      </c>
      <c r="U24" s="40" t="e">
        <f ca="1" t="shared" si="0"/>
        <v>#REF!</v>
      </c>
    </row>
    <row r="25" spans="1:21" ht="15">
      <c r="A25" s="100"/>
      <c r="B25" s="100"/>
      <c r="D25" s="34">
        <f t="shared" si="1"/>
        <v>3.6744186046511658</v>
      </c>
      <c r="E25" s="3">
        <f>COUNTIF(Vertices[Degree],"&gt;= "&amp;D25)-COUNTIF(Vertices[Degree],"&gt;="&amp;D26)</f>
        <v>0</v>
      </c>
      <c r="F25" s="41">
        <f t="shared" si="2"/>
        <v>2.1395348837209296</v>
      </c>
      <c r="G25" s="42">
        <f>COUNTIF(Vertices[In-Degree],"&gt;= "&amp;F25)-COUNTIF(Vertices[In-Degree],"&gt;="&amp;F26)</f>
        <v>0</v>
      </c>
      <c r="H25" s="41">
        <f t="shared" si="3"/>
        <v>2.1395348837209296</v>
      </c>
      <c r="I25" s="42">
        <f>COUNTIF(Vertices[Out-Degree],"&gt;= "&amp;H25)-COUNTIF(Vertices[Out-Degree],"&gt;="&amp;H26)</f>
        <v>0</v>
      </c>
      <c r="J25" s="41">
        <f t="shared" si="4"/>
        <v>14.976744186046508</v>
      </c>
      <c r="K25" s="42">
        <f>COUNTIF(Vertices[Betweenness Centrality],"&gt;= "&amp;J25)-COUNTIF(Vertices[Betweenness Centrality],"&gt;="&amp;J26)</f>
        <v>0</v>
      </c>
      <c r="L25" s="41">
        <f t="shared" si="5"/>
        <v>0.05424481395348836</v>
      </c>
      <c r="M25" s="42">
        <f>COUNTIF(Vertices[Closeness Centrality],"&gt;= "&amp;L25)-COUNTIF(Vertices[Closeness Centrality],"&gt;="&amp;L26)</f>
        <v>0</v>
      </c>
      <c r="N25" s="41">
        <f t="shared" si="6"/>
        <v>0.09349039534883724</v>
      </c>
      <c r="O25" s="42">
        <f>COUNTIF(Vertices[Eigenvector Centrality],"&gt;= "&amp;N25)-COUNTIF(Vertices[Eigenvector Centrality],"&gt;="&amp;N26)</f>
        <v>0</v>
      </c>
      <c r="P25" s="41">
        <f t="shared" si="7"/>
        <v>1.0261794418604642</v>
      </c>
      <c r="Q25" s="42">
        <f>COUNTIF(Vertices[PageRank],"&gt;= "&amp;P25)-COUNTIF(Vertices[PageRank],"&gt;="&amp;P26)</f>
        <v>0</v>
      </c>
      <c r="R25" s="41">
        <f t="shared" si="8"/>
        <v>0.2674418604651162</v>
      </c>
      <c r="S25" s="46">
        <f>COUNTIF(Vertices[Clustering Coefficient],"&gt;= "&amp;R25)-COUNTIF(Vertices[Clustering Coefficient],"&gt;="&amp;R26)</f>
        <v>0</v>
      </c>
      <c r="T25" s="41" t="e">
        <f ca="1" t="shared" si="9"/>
        <v>#REF!</v>
      </c>
      <c r="U25" s="42" t="e">
        <f ca="1" t="shared" si="0"/>
        <v>#REF!</v>
      </c>
    </row>
    <row r="26" spans="1:21" ht="15">
      <c r="A26" s="36" t="s">
        <v>192</v>
      </c>
      <c r="B26" s="36" t="s">
        <v>194</v>
      </c>
      <c r="D26" s="34">
        <f t="shared" si="1"/>
        <v>3.790697674418608</v>
      </c>
      <c r="E26" s="3">
        <f>COUNTIF(Vertices[Degree],"&gt;= "&amp;D26)-COUNTIF(Vertices[Degree],"&gt;="&amp;D27)</f>
        <v>0</v>
      </c>
      <c r="F26" s="39">
        <f t="shared" si="2"/>
        <v>2.2325581395348832</v>
      </c>
      <c r="G26" s="40">
        <f>COUNTIF(Vertices[In-Degree],"&gt;= "&amp;F26)-COUNTIF(Vertices[In-Degree],"&gt;="&amp;F27)</f>
        <v>0</v>
      </c>
      <c r="H26" s="39">
        <f t="shared" si="3"/>
        <v>2.2325581395348832</v>
      </c>
      <c r="I26" s="40">
        <f>COUNTIF(Vertices[Out-Degree],"&gt;= "&amp;H26)-COUNTIF(Vertices[Out-Degree],"&gt;="&amp;H27)</f>
        <v>0</v>
      </c>
      <c r="J26" s="39">
        <f t="shared" si="4"/>
        <v>15.627906976744182</v>
      </c>
      <c r="K26" s="40">
        <f>COUNTIF(Vertices[Betweenness Centrality],"&gt;= "&amp;J26)-COUNTIF(Vertices[Betweenness Centrality],"&gt;="&amp;J27)</f>
        <v>1</v>
      </c>
      <c r="L26" s="39">
        <f t="shared" si="5"/>
        <v>0.05510402325581394</v>
      </c>
      <c r="M26" s="40">
        <f>COUNTIF(Vertices[Closeness Centrality],"&gt;= "&amp;L26)-COUNTIF(Vertices[Closeness Centrality],"&gt;="&amp;L27)</f>
        <v>2</v>
      </c>
      <c r="N26" s="39">
        <f t="shared" si="6"/>
        <v>0.09738232558139538</v>
      </c>
      <c r="O26" s="40">
        <f>COUNTIF(Vertices[Eigenvector Centrality],"&gt;= "&amp;N26)-COUNTIF(Vertices[Eigenvector Centrality],"&gt;="&amp;N27)</f>
        <v>0</v>
      </c>
      <c r="P26" s="39">
        <f t="shared" si="7"/>
        <v>1.048440069767441</v>
      </c>
      <c r="Q26" s="40">
        <f>COUNTIF(Vertices[PageRank],"&gt;= "&amp;P26)-COUNTIF(Vertices[PageRank],"&gt;="&amp;P27)</f>
        <v>0</v>
      </c>
      <c r="R26" s="39">
        <f t="shared" si="8"/>
        <v>0.2790697674418604</v>
      </c>
      <c r="S26" s="45">
        <f>COUNTIF(Vertices[Clustering Coefficient],"&gt;= "&amp;R26)-COUNTIF(Vertices[Clustering Coefficient],"&gt;="&amp;R27)</f>
        <v>0</v>
      </c>
      <c r="T26" s="39" t="e">
        <f ca="1" t="shared" si="9"/>
        <v>#REF!</v>
      </c>
      <c r="U26" s="40" t="e">
        <f ca="1" t="shared" si="0"/>
        <v>#REF!</v>
      </c>
    </row>
    <row r="27" spans="4:21" ht="15">
      <c r="D27" s="34">
        <f t="shared" si="1"/>
        <v>3.90697674418605</v>
      </c>
      <c r="E27" s="3">
        <f>COUNTIF(Vertices[Degree],"&gt;= "&amp;D27)-COUNTIF(Vertices[Degree],"&gt;="&amp;D28)</f>
        <v>2</v>
      </c>
      <c r="F27" s="41">
        <f t="shared" si="2"/>
        <v>2.325581395348837</v>
      </c>
      <c r="G27" s="42">
        <f>COUNTIF(Vertices[In-Degree],"&gt;= "&amp;F27)-COUNTIF(Vertices[In-Degree],"&gt;="&amp;F28)</f>
        <v>0</v>
      </c>
      <c r="H27" s="41">
        <f t="shared" si="3"/>
        <v>2.325581395348837</v>
      </c>
      <c r="I27" s="42">
        <f>COUNTIF(Vertices[Out-Degree],"&gt;= "&amp;H27)-COUNTIF(Vertices[Out-Degree],"&gt;="&amp;H28)</f>
        <v>0</v>
      </c>
      <c r="J27" s="41">
        <f t="shared" si="4"/>
        <v>16.279069767441857</v>
      </c>
      <c r="K27" s="42">
        <f>COUNTIF(Vertices[Betweenness Centrality],"&gt;= "&amp;J27)-COUNTIF(Vertices[Betweenness Centrality],"&gt;="&amp;J28)</f>
        <v>2</v>
      </c>
      <c r="L27" s="41">
        <f t="shared" si="5"/>
        <v>0.05596323255813952</v>
      </c>
      <c r="M27" s="42">
        <f>COUNTIF(Vertices[Closeness Centrality],"&gt;= "&amp;L27)-COUNTIF(Vertices[Closeness Centrality],"&gt;="&amp;L28)</f>
        <v>0</v>
      </c>
      <c r="N27" s="41">
        <f t="shared" si="6"/>
        <v>0.10127425581395352</v>
      </c>
      <c r="O27" s="42">
        <f>COUNTIF(Vertices[Eigenvector Centrality],"&gt;= "&amp;N27)-COUNTIF(Vertices[Eigenvector Centrality],"&gt;="&amp;N28)</f>
        <v>2</v>
      </c>
      <c r="P27" s="41">
        <f t="shared" si="7"/>
        <v>1.0707006976744178</v>
      </c>
      <c r="Q27" s="42">
        <f>COUNTIF(Vertices[PageRank],"&gt;= "&amp;P27)-COUNTIF(Vertices[PageRank],"&gt;="&amp;P28)</f>
        <v>0</v>
      </c>
      <c r="R27" s="41">
        <f t="shared" si="8"/>
        <v>0.2906976744186046</v>
      </c>
      <c r="S27" s="46">
        <f>COUNTIF(Vertices[Clustering Coefficient],"&gt;= "&amp;R27)-COUNTIF(Vertices[Clustering Coefficient],"&gt;="&amp;R28)</f>
        <v>0</v>
      </c>
      <c r="T27" s="41" t="e">
        <f ca="1" t="shared" si="9"/>
        <v>#REF!</v>
      </c>
      <c r="U27" s="42" t="e">
        <f ca="1" t="shared" si="0"/>
        <v>#REF!</v>
      </c>
    </row>
    <row r="28" spans="4:21" ht="15">
      <c r="D28" s="34">
        <f t="shared" si="1"/>
        <v>4.023255813953492</v>
      </c>
      <c r="E28" s="3">
        <f>COUNTIF(Vertices[Degree],"&gt;= "&amp;D28)-COUNTIF(Vertices[Degree],"&gt;="&amp;D29)</f>
        <v>0</v>
      </c>
      <c r="F28" s="39">
        <f t="shared" si="2"/>
        <v>2.4186046511627906</v>
      </c>
      <c r="G28" s="40">
        <f>COUNTIF(Vertices[In-Degree],"&gt;= "&amp;F28)-COUNTIF(Vertices[In-Degree],"&gt;="&amp;F29)</f>
        <v>0</v>
      </c>
      <c r="H28" s="39">
        <f t="shared" si="3"/>
        <v>2.4186046511627906</v>
      </c>
      <c r="I28" s="40">
        <f>COUNTIF(Vertices[Out-Degree],"&gt;= "&amp;H28)-COUNTIF(Vertices[Out-Degree],"&gt;="&amp;H29)</f>
        <v>0</v>
      </c>
      <c r="J28" s="39">
        <f t="shared" si="4"/>
        <v>16.930232558139533</v>
      </c>
      <c r="K28" s="40">
        <f>COUNTIF(Vertices[Betweenness Centrality],"&gt;= "&amp;J28)-COUNTIF(Vertices[Betweenness Centrality],"&gt;="&amp;J29)</f>
        <v>0</v>
      </c>
      <c r="L28" s="39">
        <f t="shared" si="5"/>
        <v>0.0568224418604651</v>
      </c>
      <c r="M28" s="40">
        <f>COUNTIF(Vertices[Closeness Centrality],"&gt;= "&amp;L28)-COUNTIF(Vertices[Closeness Centrality],"&gt;="&amp;L29)</f>
        <v>0</v>
      </c>
      <c r="N28" s="39">
        <f t="shared" si="6"/>
        <v>0.10516618604651166</v>
      </c>
      <c r="O28" s="40">
        <f>COUNTIF(Vertices[Eigenvector Centrality],"&gt;= "&amp;N28)-COUNTIF(Vertices[Eigenvector Centrality],"&gt;="&amp;N29)</f>
        <v>0</v>
      </c>
      <c r="P28" s="39">
        <f t="shared" si="7"/>
        <v>1.0929613255813946</v>
      </c>
      <c r="Q28" s="40">
        <f>COUNTIF(Vertices[PageRank],"&gt;= "&amp;P28)-COUNTIF(Vertices[PageRank],"&gt;="&amp;P29)</f>
        <v>0</v>
      </c>
      <c r="R28" s="39">
        <f t="shared" si="8"/>
        <v>0.3023255813953488</v>
      </c>
      <c r="S28" s="45">
        <f>COUNTIF(Vertices[Clustering Coefficient],"&gt;= "&amp;R28)-COUNTIF(Vertices[Clustering Coefficient],"&gt;="&amp;R29)</f>
        <v>0</v>
      </c>
      <c r="T28" s="39" t="e">
        <f ca="1" t="shared" si="9"/>
        <v>#REF!</v>
      </c>
      <c r="U28" s="40" t="e">
        <f ca="1" t="shared" si="0"/>
        <v>#REF!</v>
      </c>
    </row>
    <row r="29" spans="1:21" ht="15">
      <c r="A29" t="s">
        <v>163</v>
      </c>
      <c r="B29" t="s">
        <v>17</v>
      </c>
      <c r="D29" s="34">
        <f t="shared" si="1"/>
        <v>4.139534883720934</v>
      </c>
      <c r="E29" s="3">
        <f>COUNTIF(Vertices[Degree],"&gt;= "&amp;D29)-COUNTIF(Vertices[Degree],"&gt;="&amp;D30)</f>
        <v>0</v>
      </c>
      <c r="F29" s="41">
        <f t="shared" si="2"/>
        <v>2.511627906976744</v>
      </c>
      <c r="G29" s="42">
        <f>COUNTIF(Vertices[In-Degree],"&gt;= "&amp;F29)-COUNTIF(Vertices[In-Degree],"&gt;="&amp;F30)</f>
        <v>0</v>
      </c>
      <c r="H29" s="41">
        <f t="shared" si="3"/>
        <v>2.511627906976744</v>
      </c>
      <c r="I29" s="42">
        <f>COUNTIF(Vertices[Out-Degree],"&gt;= "&amp;H29)-COUNTIF(Vertices[Out-Degree],"&gt;="&amp;H30)</f>
        <v>0</v>
      </c>
      <c r="J29" s="41">
        <f t="shared" si="4"/>
        <v>17.58139534883721</v>
      </c>
      <c r="K29" s="42">
        <f>COUNTIF(Vertices[Betweenness Centrality],"&gt;= "&amp;J29)-COUNTIF(Vertices[Betweenness Centrality],"&gt;="&amp;J30)</f>
        <v>0</v>
      </c>
      <c r="L29" s="41">
        <f t="shared" si="5"/>
        <v>0.057681651162790684</v>
      </c>
      <c r="M29" s="42">
        <f>COUNTIF(Vertices[Closeness Centrality],"&gt;= "&amp;L29)-COUNTIF(Vertices[Closeness Centrality],"&gt;="&amp;L30)</f>
        <v>0</v>
      </c>
      <c r="N29" s="41">
        <f t="shared" si="6"/>
        <v>0.1090581162790698</v>
      </c>
      <c r="O29" s="42">
        <f>COUNTIF(Vertices[Eigenvector Centrality],"&gt;= "&amp;N29)-COUNTIF(Vertices[Eigenvector Centrality],"&gt;="&amp;N30)</f>
        <v>0</v>
      </c>
      <c r="P29" s="41">
        <f t="shared" si="7"/>
        <v>1.1152219534883714</v>
      </c>
      <c r="Q29" s="42">
        <f>COUNTIF(Vertices[PageRank],"&gt;= "&amp;P29)-COUNTIF(Vertices[PageRank],"&gt;="&amp;P30)</f>
        <v>0</v>
      </c>
      <c r="R29" s="41">
        <f t="shared" si="8"/>
        <v>0.313953488372093</v>
      </c>
      <c r="S29" s="46">
        <f>COUNTIF(Vertices[Clustering Coefficient],"&gt;= "&amp;R29)-COUNTIF(Vertices[Clustering Coefficient],"&gt;="&amp;R30)</f>
        <v>0</v>
      </c>
      <c r="T29" s="41" t="e">
        <f ca="1" t="shared" si="9"/>
        <v>#REF!</v>
      </c>
      <c r="U29" s="42" t="e">
        <f ca="1" t="shared" si="0"/>
        <v>#REF!</v>
      </c>
    </row>
    <row r="30" spans="1:21" ht="15">
      <c r="A30" s="35"/>
      <c r="B30" s="35"/>
      <c r="D30" s="34">
        <f t="shared" si="1"/>
        <v>4.255813953488376</v>
      </c>
      <c r="E30" s="3">
        <f>COUNTIF(Vertices[Degree],"&gt;= "&amp;D30)-COUNTIF(Vertices[Degree],"&gt;="&amp;D31)</f>
        <v>0</v>
      </c>
      <c r="F30" s="39">
        <f t="shared" si="2"/>
        <v>2.604651162790698</v>
      </c>
      <c r="G30" s="40">
        <f>COUNTIF(Vertices[In-Degree],"&gt;= "&amp;F30)-COUNTIF(Vertices[In-Degree],"&gt;="&amp;F31)</f>
        <v>0</v>
      </c>
      <c r="H30" s="39">
        <f t="shared" si="3"/>
        <v>2.604651162790698</v>
      </c>
      <c r="I30" s="40">
        <f>COUNTIF(Vertices[Out-Degree],"&gt;= "&amp;H30)-COUNTIF(Vertices[Out-Degree],"&gt;="&amp;H31)</f>
        <v>0</v>
      </c>
      <c r="J30" s="39">
        <f t="shared" si="4"/>
        <v>18.232558139534884</v>
      </c>
      <c r="K30" s="40">
        <f>COUNTIF(Vertices[Betweenness Centrality],"&gt;= "&amp;J30)-COUNTIF(Vertices[Betweenness Centrality],"&gt;="&amp;J31)</f>
        <v>0</v>
      </c>
      <c r="L30" s="39">
        <f t="shared" si="5"/>
        <v>0.058540860465116265</v>
      </c>
      <c r="M30" s="40">
        <f>COUNTIF(Vertices[Closeness Centrality],"&gt;= "&amp;L30)-COUNTIF(Vertices[Closeness Centrality],"&gt;="&amp;L31)</f>
        <v>2</v>
      </c>
      <c r="N30" s="39">
        <f t="shared" si="6"/>
        <v>0.11295004651162795</v>
      </c>
      <c r="O30" s="40">
        <f>COUNTIF(Vertices[Eigenvector Centrality],"&gt;= "&amp;N30)-COUNTIF(Vertices[Eigenvector Centrality],"&gt;="&amp;N31)</f>
        <v>0</v>
      </c>
      <c r="P30" s="39">
        <f t="shared" si="7"/>
        <v>1.1374825813953482</v>
      </c>
      <c r="Q30" s="40">
        <f>COUNTIF(Vertices[PageRank],"&gt;= "&amp;P30)-COUNTIF(Vertices[PageRank],"&gt;="&amp;P31)</f>
        <v>0</v>
      </c>
      <c r="R30" s="39">
        <f t="shared" si="8"/>
        <v>0.32558139534883723</v>
      </c>
      <c r="S30" s="45">
        <f>COUNTIF(Vertices[Clustering Coefficient],"&gt;= "&amp;R30)-COUNTIF(Vertices[Clustering Coefficient],"&gt;="&amp;R31)</f>
        <v>2</v>
      </c>
      <c r="T30" s="39" t="e">
        <f ca="1" t="shared" si="9"/>
        <v>#REF!</v>
      </c>
      <c r="U30" s="40" t="e">
        <f ca="1" t="shared" si="0"/>
        <v>#REF!</v>
      </c>
    </row>
    <row r="31" spans="1:21" ht="15">
      <c r="A31" s="35"/>
      <c r="B31" s="35"/>
      <c r="D31" s="34">
        <f t="shared" si="1"/>
        <v>4.372093023255818</v>
      </c>
      <c r="E31" s="3">
        <f>COUNTIF(Vertices[Degree],"&gt;= "&amp;D31)-COUNTIF(Vertices[Degree],"&gt;="&amp;D32)</f>
        <v>0</v>
      </c>
      <c r="F31" s="41">
        <f t="shared" si="2"/>
        <v>2.6976744186046515</v>
      </c>
      <c r="G31" s="42">
        <f>COUNTIF(Vertices[In-Degree],"&gt;= "&amp;F31)-COUNTIF(Vertices[In-Degree],"&gt;="&amp;F32)</f>
        <v>0</v>
      </c>
      <c r="H31" s="41">
        <f t="shared" si="3"/>
        <v>2.6976744186046515</v>
      </c>
      <c r="I31" s="42">
        <f>COUNTIF(Vertices[Out-Degree],"&gt;= "&amp;H31)-COUNTIF(Vertices[Out-Degree],"&gt;="&amp;H32)</f>
        <v>0</v>
      </c>
      <c r="J31" s="41">
        <f t="shared" si="4"/>
        <v>18.88372093023256</v>
      </c>
      <c r="K31" s="42">
        <f>COUNTIF(Vertices[Betweenness Centrality],"&gt;= "&amp;J31)-COUNTIF(Vertices[Betweenness Centrality],"&gt;="&amp;J32)</f>
        <v>0</v>
      </c>
      <c r="L31" s="41">
        <f t="shared" si="5"/>
        <v>0.059400069767441846</v>
      </c>
      <c r="M31" s="42">
        <f>COUNTIF(Vertices[Closeness Centrality],"&gt;= "&amp;L31)-COUNTIF(Vertices[Closeness Centrality],"&gt;="&amp;L32)</f>
        <v>0</v>
      </c>
      <c r="N31" s="41">
        <f t="shared" si="6"/>
        <v>0.11684197674418609</v>
      </c>
      <c r="O31" s="42">
        <f>COUNTIF(Vertices[Eigenvector Centrality],"&gt;= "&amp;N31)-COUNTIF(Vertices[Eigenvector Centrality],"&gt;="&amp;N32)</f>
        <v>0</v>
      </c>
      <c r="P31" s="41">
        <f t="shared" si="7"/>
        <v>1.159743209302325</v>
      </c>
      <c r="Q31" s="42">
        <f>COUNTIF(Vertices[PageRank],"&gt;= "&amp;P31)-COUNTIF(Vertices[PageRank],"&gt;="&amp;P32)</f>
        <v>0</v>
      </c>
      <c r="R31" s="41">
        <f t="shared" si="8"/>
        <v>0.33720930232558144</v>
      </c>
      <c r="S31" s="46">
        <f>COUNTIF(Vertices[Clustering Coefficient],"&gt;= "&amp;R31)-COUNTIF(Vertices[Clustering Coefficient],"&gt;="&amp;R32)</f>
        <v>0</v>
      </c>
      <c r="T31" s="41" t="e">
        <f ca="1" t="shared" si="9"/>
        <v>#REF!</v>
      </c>
      <c r="U31" s="42" t="e">
        <f ca="1" t="shared" si="0"/>
        <v>#REF!</v>
      </c>
    </row>
    <row r="32" spans="1:21" ht="15">
      <c r="A32" s="35"/>
      <c r="B32" s="35"/>
      <c r="D32" s="34">
        <f t="shared" si="1"/>
        <v>4.48837209302326</v>
      </c>
      <c r="E32" s="3">
        <f>COUNTIF(Vertices[Degree],"&gt;= "&amp;D32)-COUNTIF(Vertices[Degree],"&gt;="&amp;D33)</f>
        <v>0</v>
      </c>
      <c r="F32" s="39">
        <f t="shared" si="2"/>
        <v>2.790697674418605</v>
      </c>
      <c r="G32" s="40">
        <f>COUNTIF(Vertices[In-Degree],"&gt;= "&amp;F32)-COUNTIF(Vertices[In-Degree],"&gt;="&amp;F33)</f>
        <v>0</v>
      </c>
      <c r="H32" s="39">
        <f t="shared" si="3"/>
        <v>2.790697674418605</v>
      </c>
      <c r="I32" s="40">
        <f>COUNTIF(Vertices[Out-Degree],"&gt;= "&amp;H32)-COUNTIF(Vertices[Out-Degree],"&gt;="&amp;H33)</f>
        <v>0</v>
      </c>
      <c r="J32" s="39">
        <f t="shared" si="4"/>
        <v>19.534883720930235</v>
      </c>
      <c r="K32" s="40">
        <f>COUNTIF(Vertices[Betweenness Centrality],"&gt;= "&amp;J32)-COUNTIF(Vertices[Betweenness Centrality],"&gt;="&amp;J33)</f>
        <v>0</v>
      </c>
      <c r="L32" s="39">
        <f t="shared" si="5"/>
        <v>0.06025927906976743</v>
      </c>
      <c r="M32" s="40">
        <f>COUNTIF(Vertices[Closeness Centrality],"&gt;= "&amp;L32)-COUNTIF(Vertices[Closeness Centrality],"&gt;="&amp;L33)</f>
        <v>0</v>
      </c>
      <c r="N32" s="39">
        <f t="shared" si="6"/>
        <v>0.12073390697674423</v>
      </c>
      <c r="O32" s="40">
        <f>COUNTIF(Vertices[Eigenvector Centrality],"&gt;= "&amp;N32)-COUNTIF(Vertices[Eigenvector Centrality],"&gt;="&amp;N33)</f>
        <v>0</v>
      </c>
      <c r="P32" s="39">
        <f t="shared" si="7"/>
        <v>1.1820038372093018</v>
      </c>
      <c r="Q32" s="40">
        <f>COUNTIF(Vertices[PageRank],"&gt;= "&amp;P32)-COUNTIF(Vertices[PageRank],"&gt;="&amp;P33)</f>
        <v>0</v>
      </c>
      <c r="R32" s="39">
        <f t="shared" si="8"/>
        <v>0.34883720930232565</v>
      </c>
      <c r="S32" s="45">
        <f>COUNTIF(Vertices[Clustering Coefficient],"&gt;= "&amp;R32)-COUNTIF(Vertices[Clustering Coefficient],"&gt;="&amp;R33)</f>
        <v>0</v>
      </c>
      <c r="T32" s="39" t="e">
        <f ca="1" t="shared" si="9"/>
        <v>#REF!</v>
      </c>
      <c r="U32" s="40" t="e">
        <f ca="1" t="shared" si="0"/>
        <v>#REF!</v>
      </c>
    </row>
    <row r="33" spans="4:21" ht="15">
      <c r="D33" s="34">
        <f t="shared" si="1"/>
        <v>4.604651162790702</v>
      </c>
      <c r="E33" s="3">
        <f>COUNTIF(Vertices[Degree],"&gt;= "&amp;D33)-COUNTIF(Vertices[Degree],"&gt;="&amp;D34)</f>
        <v>0</v>
      </c>
      <c r="F33" s="41">
        <f t="shared" si="2"/>
        <v>2.883720930232559</v>
      </c>
      <c r="G33" s="42">
        <f>COUNTIF(Vertices[In-Degree],"&gt;= "&amp;F33)-COUNTIF(Vertices[In-Degree],"&gt;="&amp;F34)</f>
        <v>0</v>
      </c>
      <c r="H33" s="41">
        <f t="shared" si="3"/>
        <v>2.883720930232559</v>
      </c>
      <c r="I33" s="42">
        <f>COUNTIF(Vertices[Out-Degree],"&gt;= "&amp;H33)-COUNTIF(Vertices[Out-Degree],"&gt;="&amp;H34)</f>
        <v>0</v>
      </c>
      <c r="J33" s="41">
        <f t="shared" si="4"/>
        <v>20.18604651162791</v>
      </c>
      <c r="K33" s="42">
        <f>COUNTIF(Vertices[Betweenness Centrality],"&gt;= "&amp;J33)-COUNTIF(Vertices[Betweenness Centrality],"&gt;="&amp;J34)</f>
        <v>0</v>
      </c>
      <c r="L33" s="41">
        <f t="shared" si="5"/>
        <v>0.06111848837209301</v>
      </c>
      <c r="M33" s="42">
        <f>COUNTIF(Vertices[Closeness Centrality],"&gt;= "&amp;L33)-COUNTIF(Vertices[Closeness Centrality],"&gt;="&amp;L34)</f>
        <v>0</v>
      </c>
      <c r="N33" s="41">
        <f t="shared" si="6"/>
        <v>0.12462583720930237</v>
      </c>
      <c r="O33" s="42">
        <f>COUNTIF(Vertices[Eigenvector Centrality],"&gt;= "&amp;N33)-COUNTIF(Vertices[Eigenvector Centrality],"&gt;="&amp;N34)</f>
        <v>2</v>
      </c>
      <c r="P33" s="41">
        <f t="shared" si="7"/>
        <v>1.2042644651162786</v>
      </c>
      <c r="Q33" s="42">
        <f>COUNTIF(Vertices[PageRank],"&gt;= "&amp;P33)-COUNTIF(Vertices[PageRank],"&gt;="&amp;P34)</f>
        <v>0</v>
      </c>
      <c r="R33" s="41">
        <f t="shared" si="8"/>
        <v>0.36046511627906985</v>
      </c>
      <c r="S33" s="46">
        <f>COUNTIF(Vertices[Clustering Coefficient],"&gt;= "&amp;R33)-COUNTIF(Vertices[Clustering Coefficient],"&gt;="&amp;R34)</f>
        <v>0</v>
      </c>
      <c r="T33" s="41" t="e">
        <f ca="1" t="shared" si="9"/>
        <v>#REF!</v>
      </c>
      <c r="U33" s="42" t="e">
        <f ca="1" t="shared" si="0"/>
        <v>#REF!</v>
      </c>
    </row>
    <row r="34" spans="4:21" ht="15">
      <c r="D34" s="34">
        <f t="shared" si="1"/>
        <v>4.720930232558144</v>
      </c>
      <c r="E34" s="3">
        <f>COUNTIF(Vertices[Degree],"&gt;= "&amp;D34)-COUNTIF(Vertices[Degree],"&gt;="&amp;D35)</f>
        <v>0</v>
      </c>
      <c r="F34" s="39">
        <f t="shared" si="2"/>
        <v>2.9767441860465125</v>
      </c>
      <c r="G34" s="40">
        <f>COUNTIF(Vertices[In-Degree],"&gt;= "&amp;F34)-COUNTIF(Vertices[In-Degree],"&gt;="&amp;F35)</f>
        <v>2</v>
      </c>
      <c r="H34" s="39">
        <f t="shared" si="3"/>
        <v>2.9767441860465125</v>
      </c>
      <c r="I34" s="40">
        <f>COUNTIF(Vertices[Out-Degree],"&gt;= "&amp;H34)-COUNTIF(Vertices[Out-Degree],"&gt;="&amp;H35)</f>
        <v>2</v>
      </c>
      <c r="J34" s="39">
        <f t="shared" si="4"/>
        <v>20.837209302325586</v>
      </c>
      <c r="K34" s="40">
        <f>COUNTIF(Vertices[Betweenness Centrality],"&gt;= "&amp;J34)-COUNTIF(Vertices[Betweenness Centrality],"&gt;="&amp;J35)</f>
        <v>0</v>
      </c>
      <c r="L34" s="39">
        <f t="shared" si="5"/>
        <v>0.06197769767441859</v>
      </c>
      <c r="M34" s="40">
        <f>COUNTIF(Vertices[Closeness Centrality],"&gt;= "&amp;L34)-COUNTIF(Vertices[Closeness Centrality],"&gt;="&amp;L35)</f>
        <v>0</v>
      </c>
      <c r="N34" s="39">
        <f t="shared" si="6"/>
        <v>0.1285177674418605</v>
      </c>
      <c r="O34" s="40">
        <f>COUNTIF(Vertices[Eigenvector Centrality],"&gt;= "&amp;N34)-COUNTIF(Vertices[Eigenvector Centrality],"&gt;="&amp;N35)</f>
        <v>0</v>
      </c>
      <c r="P34" s="39">
        <f t="shared" si="7"/>
        <v>1.2265250930232554</v>
      </c>
      <c r="Q34" s="40">
        <f>COUNTIF(Vertices[PageRank],"&gt;= "&amp;P34)-COUNTIF(Vertices[PageRank],"&gt;="&amp;P35)</f>
        <v>0</v>
      </c>
      <c r="R34" s="39">
        <f t="shared" si="8"/>
        <v>0.37209302325581406</v>
      </c>
      <c r="S34" s="45">
        <f>COUNTIF(Vertices[Clustering Coefficient],"&gt;= "&amp;R34)-COUNTIF(Vertices[Clustering Coefficient],"&gt;="&amp;R35)</f>
        <v>0</v>
      </c>
      <c r="T34" s="39" t="e">
        <f ca="1" t="shared" si="9"/>
        <v>#REF!</v>
      </c>
      <c r="U34" s="40" t="e">
        <f ca="1" t="shared" si="0"/>
        <v>#REF!</v>
      </c>
    </row>
    <row r="35" spans="4:21" ht="15">
      <c r="D35" s="34">
        <f t="shared" si="1"/>
        <v>4.837209302325586</v>
      </c>
      <c r="E35" s="3">
        <f>COUNTIF(Vertices[Degree],"&gt;= "&amp;D35)-COUNTIF(Vertices[Degree],"&gt;="&amp;D36)</f>
        <v>0</v>
      </c>
      <c r="F35" s="41">
        <f t="shared" si="2"/>
        <v>3.069767441860466</v>
      </c>
      <c r="G35" s="42">
        <f>COUNTIF(Vertices[In-Degree],"&gt;= "&amp;F35)-COUNTIF(Vertices[In-Degree],"&gt;="&amp;F36)</f>
        <v>0</v>
      </c>
      <c r="H35" s="41">
        <f t="shared" si="3"/>
        <v>3.069767441860466</v>
      </c>
      <c r="I35" s="42">
        <f>COUNTIF(Vertices[Out-Degree],"&gt;= "&amp;H35)-COUNTIF(Vertices[Out-Degree],"&gt;="&amp;H36)</f>
        <v>0</v>
      </c>
      <c r="J35" s="41">
        <f t="shared" si="4"/>
        <v>21.488372093023262</v>
      </c>
      <c r="K35" s="42">
        <f>COUNTIF(Vertices[Betweenness Centrality],"&gt;= "&amp;J35)-COUNTIF(Vertices[Betweenness Centrality],"&gt;="&amp;J36)</f>
        <v>0</v>
      </c>
      <c r="L35" s="41">
        <f t="shared" si="5"/>
        <v>0.06283690697674417</v>
      </c>
      <c r="M35" s="42">
        <f>COUNTIF(Vertices[Closeness Centrality],"&gt;= "&amp;L35)-COUNTIF(Vertices[Closeness Centrality],"&gt;="&amp;L36)</f>
        <v>0</v>
      </c>
      <c r="N35" s="41">
        <f t="shared" si="6"/>
        <v>0.13240969767441862</v>
      </c>
      <c r="O35" s="42">
        <f>COUNTIF(Vertices[Eigenvector Centrality],"&gt;= "&amp;N35)-COUNTIF(Vertices[Eigenvector Centrality],"&gt;="&amp;N36)</f>
        <v>0</v>
      </c>
      <c r="P35" s="41">
        <f t="shared" si="7"/>
        <v>1.2487857209302322</v>
      </c>
      <c r="Q35" s="42">
        <f>COUNTIF(Vertices[PageRank],"&gt;= "&amp;P35)-COUNTIF(Vertices[PageRank],"&gt;="&amp;P36)</f>
        <v>0</v>
      </c>
      <c r="R35" s="41">
        <f t="shared" si="8"/>
        <v>0.38372093023255827</v>
      </c>
      <c r="S35" s="46">
        <f>COUNTIF(Vertices[Clustering Coefficient],"&gt;= "&amp;R35)-COUNTIF(Vertices[Clustering Coefficient],"&gt;="&amp;R36)</f>
        <v>0</v>
      </c>
      <c r="T35" s="41" t="e">
        <f ca="1" t="shared" si="9"/>
        <v>#REF!</v>
      </c>
      <c r="U35" s="42" t="e">
        <f ca="1" t="shared" si="0"/>
        <v>#REF!</v>
      </c>
    </row>
    <row r="36" spans="4:21" ht="15">
      <c r="D36" s="34">
        <f t="shared" si="1"/>
        <v>4.9534883720930285</v>
      </c>
      <c r="E36" s="3">
        <f>COUNTIF(Vertices[Degree],"&gt;= "&amp;D36)-COUNTIF(Vertices[Degree],"&gt;="&amp;D37)</f>
        <v>2</v>
      </c>
      <c r="F36" s="39">
        <f t="shared" si="2"/>
        <v>3.16279069767442</v>
      </c>
      <c r="G36" s="40">
        <f>COUNTIF(Vertices[In-Degree],"&gt;= "&amp;F36)-COUNTIF(Vertices[In-Degree],"&gt;="&amp;F37)</f>
        <v>0</v>
      </c>
      <c r="H36" s="39">
        <f t="shared" si="3"/>
        <v>3.16279069767442</v>
      </c>
      <c r="I36" s="40">
        <f>COUNTIF(Vertices[Out-Degree],"&gt;= "&amp;H36)-COUNTIF(Vertices[Out-Degree],"&gt;="&amp;H37)</f>
        <v>0</v>
      </c>
      <c r="J36" s="39">
        <f t="shared" si="4"/>
        <v>22.139534883720938</v>
      </c>
      <c r="K36" s="40">
        <f>COUNTIF(Vertices[Betweenness Centrality],"&gt;= "&amp;J36)-COUNTIF(Vertices[Betweenness Centrality],"&gt;="&amp;J37)</f>
        <v>0</v>
      </c>
      <c r="L36" s="39">
        <f t="shared" si="5"/>
        <v>0.06369611627906975</v>
      </c>
      <c r="M36" s="40">
        <f>COUNTIF(Vertices[Closeness Centrality],"&gt;= "&amp;L36)-COUNTIF(Vertices[Closeness Centrality],"&gt;="&amp;L37)</f>
        <v>0</v>
      </c>
      <c r="N36" s="39">
        <f t="shared" si="6"/>
        <v>0.13630162790697675</v>
      </c>
      <c r="O36" s="40">
        <f>COUNTIF(Vertices[Eigenvector Centrality],"&gt;= "&amp;N36)-COUNTIF(Vertices[Eigenvector Centrality],"&gt;="&amp;N37)</f>
        <v>0</v>
      </c>
      <c r="P36" s="39">
        <f t="shared" si="7"/>
        <v>1.271046348837209</v>
      </c>
      <c r="Q36" s="40">
        <f>COUNTIF(Vertices[PageRank],"&gt;= "&amp;P36)-COUNTIF(Vertices[PageRank],"&gt;="&amp;P37)</f>
        <v>2</v>
      </c>
      <c r="R36" s="39">
        <f t="shared" si="8"/>
        <v>0.3953488372093025</v>
      </c>
      <c r="S36" s="45">
        <f>COUNTIF(Vertices[Clustering Coefficient],"&gt;= "&amp;R36)-COUNTIF(Vertices[Clustering Coefficient],"&gt;="&amp;R37)</f>
        <v>0</v>
      </c>
      <c r="T36" s="39" t="e">
        <f ca="1" t="shared" si="9"/>
        <v>#REF!</v>
      </c>
      <c r="U36" s="40" t="e">
        <f ca="1" t="shared" si="0"/>
        <v>#REF!</v>
      </c>
    </row>
    <row r="37" spans="4:21" ht="15">
      <c r="D37" s="34">
        <f t="shared" si="1"/>
        <v>5.069767441860471</v>
      </c>
      <c r="E37" s="3">
        <f>COUNTIF(Vertices[Degree],"&gt;= "&amp;D37)-COUNTIF(Vertices[Degree],"&gt;="&amp;D38)</f>
        <v>0</v>
      </c>
      <c r="F37" s="41">
        <f t="shared" si="2"/>
        <v>3.2558139534883734</v>
      </c>
      <c r="G37" s="42">
        <f>COUNTIF(Vertices[In-Degree],"&gt;= "&amp;F37)-COUNTIF(Vertices[In-Degree],"&gt;="&amp;F38)</f>
        <v>0</v>
      </c>
      <c r="H37" s="41">
        <f t="shared" si="3"/>
        <v>3.2558139534883734</v>
      </c>
      <c r="I37" s="42">
        <f>COUNTIF(Vertices[Out-Degree],"&gt;= "&amp;H37)-COUNTIF(Vertices[Out-Degree],"&gt;="&amp;H38)</f>
        <v>0</v>
      </c>
      <c r="J37" s="41">
        <f t="shared" si="4"/>
        <v>22.790697674418613</v>
      </c>
      <c r="K37" s="42">
        <f>COUNTIF(Vertices[Betweenness Centrality],"&gt;= "&amp;J37)-COUNTIF(Vertices[Betweenness Centrality],"&gt;="&amp;J38)</f>
        <v>0</v>
      </c>
      <c r="L37" s="41">
        <f t="shared" si="5"/>
        <v>0.06455532558139533</v>
      </c>
      <c r="M37" s="42">
        <f>COUNTIF(Vertices[Closeness Centrality],"&gt;= "&amp;L37)-COUNTIF(Vertices[Closeness Centrality],"&gt;="&amp;L38)</f>
        <v>0</v>
      </c>
      <c r="N37" s="41">
        <f t="shared" si="6"/>
        <v>0.14019355813953488</v>
      </c>
      <c r="O37" s="42">
        <f>COUNTIF(Vertices[Eigenvector Centrality],"&gt;= "&amp;N37)-COUNTIF(Vertices[Eigenvector Centrality],"&gt;="&amp;N38)</f>
        <v>2</v>
      </c>
      <c r="P37" s="41">
        <f t="shared" si="7"/>
        <v>1.2933069767441858</v>
      </c>
      <c r="Q37" s="42">
        <f>COUNTIF(Vertices[PageRank],"&gt;= "&amp;P37)-COUNTIF(Vertices[PageRank],"&gt;="&amp;P38)</f>
        <v>0</v>
      </c>
      <c r="R37" s="41">
        <f t="shared" si="8"/>
        <v>0.4069767441860467</v>
      </c>
      <c r="S37" s="46">
        <f>COUNTIF(Vertices[Clustering Coefficient],"&gt;= "&amp;R37)-COUNTIF(Vertices[Clustering Coefficient],"&gt;="&amp;R38)</f>
        <v>0</v>
      </c>
      <c r="T37" s="41" t="e">
        <f ca="1" t="shared" si="9"/>
        <v>#REF!</v>
      </c>
      <c r="U37" s="42" t="e">
        <f ca="1" t="shared" si="0"/>
        <v>#REF!</v>
      </c>
    </row>
    <row r="38" spans="4:21" ht="15">
      <c r="D38" s="34">
        <f t="shared" si="1"/>
        <v>5.186046511627913</v>
      </c>
      <c r="E38" s="3">
        <f>COUNTIF(Vertices[Degree],"&gt;= "&amp;D38)-COUNTIF(Vertices[Degree],"&gt;="&amp;D39)</f>
        <v>0</v>
      </c>
      <c r="F38" s="39">
        <f t="shared" si="2"/>
        <v>3.348837209302327</v>
      </c>
      <c r="G38" s="40">
        <f>COUNTIF(Vertices[In-Degree],"&gt;= "&amp;F38)-COUNTIF(Vertices[In-Degree],"&gt;="&amp;F39)</f>
        <v>0</v>
      </c>
      <c r="H38" s="39">
        <f t="shared" si="3"/>
        <v>3.348837209302327</v>
      </c>
      <c r="I38" s="40">
        <f>COUNTIF(Vertices[Out-Degree],"&gt;= "&amp;H38)-COUNTIF(Vertices[Out-Degree],"&gt;="&amp;H39)</f>
        <v>0</v>
      </c>
      <c r="J38" s="39">
        <f t="shared" si="4"/>
        <v>23.44186046511629</v>
      </c>
      <c r="K38" s="40">
        <f>COUNTIF(Vertices[Betweenness Centrality],"&gt;= "&amp;J38)-COUNTIF(Vertices[Betweenness Centrality],"&gt;="&amp;J39)</f>
        <v>0</v>
      </c>
      <c r="L38" s="39">
        <f t="shared" si="5"/>
        <v>0.06541453488372091</v>
      </c>
      <c r="M38" s="40">
        <f>COUNTIF(Vertices[Closeness Centrality],"&gt;= "&amp;L38)-COUNTIF(Vertices[Closeness Centrality],"&gt;="&amp;L39)</f>
        <v>0</v>
      </c>
      <c r="N38" s="39">
        <f t="shared" si="6"/>
        <v>0.144085488372093</v>
      </c>
      <c r="O38" s="40">
        <f>COUNTIF(Vertices[Eigenvector Centrality],"&gt;= "&amp;N38)-COUNTIF(Vertices[Eigenvector Centrality],"&gt;="&amp;N39)</f>
        <v>0</v>
      </c>
      <c r="P38" s="39">
        <f t="shared" si="7"/>
        <v>1.3155676046511626</v>
      </c>
      <c r="Q38" s="40">
        <f>COUNTIF(Vertices[PageRank],"&gt;= "&amp;P38)-COUNTIF(Vertices[PageRank],"&gt;="&amp;P39)</f>
        <v>0</v>
      </c>
      <c r="R38" s="39">
        <f t="shared" si="8"/>
        <v>0.4186046511627909</v>
      </c>
      <c r="S38" s="45">
        <f>COUNTIF(Vertices[Clustering Coefficient],"&gt;= "&amp;R38)-COUNTIF(Vertices[Clustering Coefficient],"&gt;="&amp;R39)</f>
        <v>0</v>
      </c>
      <c r="T38" s="39" t="e">
        <f ca="1" t="shared" si="9"/>
        <v>#REF!</v>
      </c>
      <c r="U38" s="40" t="e">
        <f ca="1" t="shared" si="0"/>
        <v>#REF!</v>
      </c>
    </row>
    <row r="39" spans="4:21" ht="15">
      <c r="D39" s="34">
        <f t="shared" si="1"/>
        <v>5.302325581395355</v>
      </c>
      <c r="E39" s="3">
        <f>COUNTIF(Vertices[Degree],"&gt;= "&amp;D39)-COUNTIF(Vertices[Degree],"&gt;="&amp;D40)</f>
        <v>0</v>
      </c>
      <c r="F39" s="41">
        <f t="shared" si="2"/>
        <v>3.4418604651162807</v>
      </c>
      <c r="G39" s="42">
        <f>COUNTIF(Vertices[In-Degree],"&gt;= "&amp;F39)-COUNTIF(Vertices[In-Degree],"&gt;="&amp;F40)</f>
        <v>0</v>
      </c>
      <c r="H39" s="41">
        <f t="shared" si="3"/>
        <v>3.4418604651162807</v>
      </c>
      <c r="I39" s="42">
        <f>COUNTIF(Vertices[Out-Degree],"&gt;= "&amp;H39)-COUNTIF(Vertices[Out-Degree],"&gt;="&amp;H40)</f>
        <v>0</v>
      </c>
      <c r="J39" s="41">
        <f t="shared" si="4"/>
        <v>24.093023255813964</v>
      </c>
      <c r="K39" s="42">
        <f>COUNTIF(Vertices[Betweenness Centrality],"&gt;= "&amp;J39)-COUNTIF(Vertices[Betweenness Centrality],"&gt;="&amp;J40)</f>
        <v>0</v>
      </c>
      <c r="L39" s="41">
        <f t="shared" si="5"/>
        <v>0.0662737441860465</v>
      </c>
      <c r="M39" s="42">
        <f>COUNTIF(Vertices[Closeness Centrality],"&gt;= "&amp;L39)-COUNTIF(Vertices[Closeness Centrality],"&gt;="&amp;L40)</f>
        <v>2</v>
      </c>
      <c r="N39" s="41">
        <f t="shared" si="6"/>
        <v>0.14797741860465113</v>
      </c>
      <c r="O39" s="42">
        <f>COUNTIF(Vertices[Eigenvector Centrality],"&gt;= "&amp;N39)-COUNTIF(Vertices[Eigenvector Centrality],"&gt;="&amp;N40)</f>
        <v>0</v>
      </c>
      <c r="P39" s="41">
        <f t="shared" si="7"/>
        <v>1.3378282325581394</v>
      </c>
      <c r="Q39" s="42">
        <f>COUNTIF(Vertices[PageRank],"&gt;= "&amp;P39)-COUNTIF(Vertices[PageRank],"&gt;="&amp;P40)</f>
        <v>0</v>
      </c>
      <c r="R39" s="41">
        <f t="shared" si="8"/>
        <v>0.4302325581395351</v>
      </c>
      <c r="S39" s="46">
        <f>COUNTIF(Vertices[Clustering Coefficient],"&gt;= "&amp;R39)-COUNTIF(Vertices[Clustering Coefficient],"&gt;="&amp;R40)</f>
        <v>0</v>
      </c>
      <c r="T39" s="41" t="e">
        <f ca="1" t="shared" si="9"/>
        <v>#REF!</v>
      </c>
      <c r="U39" s="42" t="e">
        <f ca="1" t="shared" si="0"/>
        <v>#REF!</v>
      </c>
    </row>
    <row r="40" spans="4:21" ht="15">
      <c r="D40" s="34">
        <f t="shared" si="1"/>
        <v>5.418604651162797</v>
      </c>
      <c r="E40" s="3">
        <f>COUNTIF(Vertices[Degree],"&gt;= "&amp;D40)-COUNTIF(Vertices[Degree],"&gt;="&amp;D41)</f>
        <v>0</v>
      </c>
      <c r="F40" s="39">
        <f t="shared" si="2"/>
        <v>3.5348837209302344</v>
      </c>
      <c r="G40" s="40">
        <f>COUNTIF(Vertices[In-Degree],"&gt;= "&amp;F40)-COUNTIF(Vertices[In-Degree],"&gt;="&amp;F41)</f>
        <v>0</v>
      </c>
      <c r="H40" s="39">
        <f t="shared" si="3"/>
        <v>3.5348837209302344</v>
      </c>
      <c r="I40" s="40">
        <f>COUNTIF(Vertices[Out-Degree],"&gt;= "&amp;H40)-COUNTIF(Vertices[Out-Degree],"&gt;="&amp;H41)</f>
        <v>0</v>
      </c>
      <c r="J40" s="39">
        <f t="shared" si="4"/>
        <v>24.74418604651164</v>
      </c>
      <c r="K40" s="40">
        <f>COUNTIF(Vertices[Betweenness Centrality],"&gt;= "&amp;J40)-COUNTIF(Vertices[Betweenness Centrality],"&gt;="&amp;J41)</f>
        <v>0</v>
      </c>
      <c r="L40" s="39">
        <f t="shared" si="5"/>
        <v>0.06713295348837207</v>
      </c>
      <c r="M40" s="40">
        <f>COUNTIF(Vertices[Closeness Centrality],"&gt;= "&amp;L40)-COUNTIF(Vertices[Closeness Centrality],"&gt;="&amp;L41)</f>
        <v>0</v>
      </c>
      <c r="N40" s="39">
        <f t="shared" si="6"/>
        <v>0.15186934883720926</v>
      </c>
      <c r="O40" s="40">
        <f>COUNTIF(Vertices[Eigenvector Centrality],"&gt;= "&amp;N40)-COUNTIF(Vertices[Eigenvector Centrality],"&gt;="&amp;N41)</f>
        <v>0</v>
      </c>
      <c r="P40" s="39">
        <f t="shared" si="7"/>
        <v>1.3600888604651162</v>
      </c>
      <c r="Q40" s="40">
        <f>COUNTIF(Vertices[PageRank],"&gt;= "&amp;P40)-COUNTIF(Vertices[PageRank],"&gt;="&amp;P41)</f>
        <v>0</v>
      </c>
      <c r="R40" s="39">
        <f t="shared" si="8"/>
        <v>0.4418604651162793</v>
      </c>
      <c r="S40" s="45">
        <f>COUNTIF(Vertices[Clustering Coefficient],"&gt;= "&amp;R40)-COUNTIF(Vertices[Clustering Coefficient],"&gt;="&amp;R41)</f>
        <v>0</v>
      </c>
      <c r="T40" s="39" t="e">
        <f ca="1" t="shared" si="9"/>
        <v>#REF!</v>
      </c>
      <c r="U40" s="40" t="e">
        <f ca="1" t="shared" si="0"/>
        <v>#REF!</v>
      </c>
    </row>
    <row r="41" spans="4:21" ht="15">
      <c r="D41" s="34">
        <f t="shared" si="1"/>
        <v>5.534883720930239</v>
      </c>
      <c r="E41" s="3">
        <f>COUNTIF(Vertices[Degree],"&gt;= "&amp;D41)-COUNTIF(Vertices[Degree],"&gt;="&amp;D42)</f>
        <v>0</v>
      </c>
      <c r="F41" s="41">
        <f t="shared" si="2"/>
        <v>3.627906976744188</v>
      </c>
      <c r="G41" s="42">
        <f>COUNTIF(Vertices[In-Degree],"&gt;= "&amp;F41)-COUNTIF(Vertices[In-Degree],"&gt;="&amp;F42)</f>
        <v>0</v>
      </c>
      <c r="H41" s="41">
        <f t="shared" si="3"/>
        <v>3.627906976744188</v>
      </c>
      <c r="I41" s="42">
        <f>COUNTIF(Vertices[Out-Degree],"&gt;= "&amp;H41)-COUNTIF(Vertices[Out-Degree],"&gt;="&amp;H42)</f>
        <v>0</v>
      </c>
      <c r="J41" s="41">
        <f t="shared" si="4"/>
        <v>25.395348837209315</v>
      </c>
      <c r="K41" s="42">
        <f>COUNTIF(Vertices[Betweenness Centrality],"&gt;= "&amp;J41)-COUNTIF(Vertices[Betweenness Centrality],"&gt;="&amp;J42)</f>
        <v>0</v>
      </c>
      <c r="L41" s="41">
        <f t="shared" si="5"/>
        <v>0.06799216279069766</v>
      </c>
      <c r="M41" s="42">
        <f>COUNTIF(Vertices[Closeness Centrality],"&gt;= "&amp;L41)-COUNTIF(Vertices[Closeness Centrality],"&gt;="&amp;L42)</f>
        <v>0</v>
      </c>
      <c r="N41" s="41">
        <f t="shared" si="6"/>
        <v>0.1557612790697674</v>
      </c>
      <c r="O41" s="42">
        <f>COUNTIF(Vertices[Eigenvector Centrality],"&gt;= "&amp;N41)-COUNTIF(Vertices[Eigenvector Centrality],"&gt;="&amp;N42)</f>
        <v>0</v>
      </c>
      <c r="P41" s="41">
        <f t="shared" si="7"/>
        <v>1.382349488372093</v>
      </c>
      <c r="Q41" s="42">
        <f>COUNTIF(Vertices[PageRank],"&gt;= "&amp;P41)-COUNTIF(Vertices[PageRank],"&gt;="&amp;P42)</f>
        <v>0</v>
      </c>
      <c r="R41" s="41">
        <f t="shared" si="8"/>
        <v>0.4534883720930235</v>
      </c>
      <c r="S41" s="46">
        <f>COUNTIF(Vertices[Clustering Coefficient],"&gt;= "&amp;R41)-COUNTIF(Vertices[Clustering Coefficient],"&gt;="&amp;R42)</f>
        <v>0</v>
      </c>
      <c r="T41" s="41" t="e">
        <f ca="1" t="shared" si="9"/>
        <v>#REF!</v>
      </c>
      <c r="U41" s="42" t="e">
        <f ca="1" t="shared" si="0"/>
        <v>#REF!</v>
      </c>
    </row>
    <row r="42" spans="4:21" ht="15">
      <c r="D42" s="34">
        <f t="shared" si="1"/>
        <v>5.651162790697681</v>
      </c>
      <c r="E42" s="3">
        <f>COUNTIF(Vertices[Degree],"&gt;= "&amp;D42)-COUNTIF(Vertices[Degree],"&gt;="&amp;D43)</f>
        <v>0</v>
      </c>
      <c r="F42" s="39">
        <f t="shared" si="2"/>
        <v>3.7209302325581417</v>
      </c>
      <c r="G42" s="40">
        <f>COUNTIF(Vertices[In-Degree],"&gt;= "&amp;F42)-COUNTIF(Vertices[In-Degree],"&gt;="&amp;F43)</f>
        <v>0</v>
      </c>
      <c r="H42" s="39">
        <f t="shared" si="3"/>
        <v>3.7209302325581417</v>
      </c>
      <c r="I42" s="40">
        <f>COUNTIF(Vertices[Out-Degree],"&gt;= "&amp;H42)-COUNTIF(Vertices[Out-Degree],"&gt;="&amp;H43)</f>
        <v>0</v>
      </c>
      <c r="J42" s="39">
        <f t="shared" si="4"/>
        <v>26.04651162790699</v>
      </c>
      <c r="K42" s="40">
        <f>COUNTIF(Vertices[Betweenness Centrality],"&gt;= "&amp;J42)-COUNTIF(Vertices[Betweenness Centrality],"&gt;="&amp;J43)</f>
        <v>0</v>
      </c>
      <c r="L42" s="39">
        <f t="shared" si="5"/>
        <v>0.06885137209302324</v>
      </c>
      <c r="M42" s="40">
        <f>COUNTIF(Vertices[Closeness Centrality],"&gt;= "&amp;L42)-COUNTIF(Vertices[Closeness Centrality],"&gt;="&amp;L43)</f>
        <v>0</v>
      </c>
      <c r="N42" s="39">
        <f t="shared" si="6"/>
        <v>0.15965320930232552</v>
      </c>
      <c r="O42" s="40">
        <f>COUNTIF(Vertices[Eigenvector Centrality],"&gt;= "&amp;N42)-COUNTIF(Vertices[Eigenvector Centrality],"&gt;="&amp;N43)</f>
        <v>0</v>
      </c>
      <c r="P42" s="39">
        <f t="shared" si="7"/>
        <v>1.4046101162790698</v>
      </c>
      <c r="Q42" s="40">
        <f>COUNTIF(Vertices[PageRank],"&gt;= "&amp;P42)-COUNTIF(Vertices[PageRank],"&gt;="&amp;P43)</f>
        <v>0</v>
      </c>
      <c r="R42" s="39">
        <f t="shared" si="8"/>
        <v>0.4651162790697677</v>
      </c>
      <c r="S42" s="45">
        <f>COUNTIF(Vertices[Clustering Coefficient],"&gt;= "&amp;R42)-COUNTIF(Vertices[Clustering Coefficient],"&gt;="&amp;R43)</f>
        <v>0</v>
      </c>
      <c r="T42" s="39" t="e">
        <f ca="1" t="shared" si="9"/>
        <v>#REF!</v>
      </c>
      <c r="U42" s="40" t="e">
        <f ca="1" t="shared" si="0"/>
        <v>#REF!</v>
      </c>
    </row>
    <row r="43" spans="1:21" ht="15">
      <c r="A43" s="35" t="s">
        <v>81</v>
      </c>
      <c r="B43" s="48">
        <f>IF(COUNT(Vertices[Degree])&gt;0,D2,NoMetricMessage)</f>
        <v>1</v>
      </c>
      <c r="D43" s="34">
        <f t="shared" si="1"/>
        <v>5.767441860465123</v>
      </c>
      <c r="E43" s="3">
        <f>COUNTIF(Vertices[Degree],"&gt;= "&amp;D43)-COUNTIF(Vertices[Degree],"&gt;="&amp;D44)</f>
        <v>0</v>
      </c>
      <c r="F43" s="41">
        <f t="shared" si="2"/>
        <v>3.8139534883720954</v>
      </c>
      <c r="G43" s="42">
        <f>COUNTIF(Vertices[In-Degree],"&gt;= "&amp;F43)-COUNTIF(Vertices[In-Degree],"&gt;="&amp;F44)</f>
        <v>0</v>
      </c>
      <c r="H43" s="41">
        <f t="shared" si="3"/>
        <v>3.8139534883720954</v>
      </c>
      <c r="I43" s="42">
        <f>COUNTIF(Vertices[Out-Degree],"&gt;= "&amp;H43)-COUNTIF(Vertices[Out-Degree],"&gt;="&amp;H44)</f>
        <v>0</v>
      </c>
      <c r="J43" s="41">
        <f t="shared" si="4"/>
        <v>26.697674418604667</v>
      </c>
      <c r="K43" s="42">
        <f>COUNTIF(Vertices[Betweenness Centrality],"&gt;= "&amp;J43)-COUNTIF(Vertices[Betweenness Centrality],"&gt;="&amp;J44)</f>
        <v>0</v>
      </c>
      <c r="L43" s="41">
        <f t="shared" si="5"/>
        <v>0.06971058139534882</v>
      </c>
      <c r="M43" s="42">
        <f>COUNTIF(Vertices[Closeness Centrality],"&gt;= "&amp;L43)-COUNTIF(Vertices[Closeness Centrality],"&gt;="&amp;L44)</f>
        <v>0</v>
      </c>
      <c r="N43" s="41">
        <f t="shared" si="6"/>
        <v>0.16354513953488364</v>
      </c>
      <c r="O43" s="42">
        <f>COUNTIF(Vertices[Eigenvector Centrality],"&gt;= "&amp;N43)-COUNTIF(Vertices[Eigenvector Centrality],"&gt;="&amp;N44)</f>
        <v>0</v>
      </c>
      <c r="P43" s="41">
        <f t="shared" si="7"/>
        <v>1.4268707441860466</v>
      </c>
      <c r="Q43" s="42">
        <f>COUNTIF(Vertices[PageRank],"&gt;= "&amp;P43)-COUNTIF(Vertices[PageRank],"&gt;="&amp;P44)</f>
        <v>0</v>
      </c>
      <c r="R43" s="41">
        <f t="shared" si="8"/>
        <v>0.4767441860465119</v>
      </c>
      <c r="S43" s="46">
        <f>COUNTIF(Vertices[Clustering Coefficient],"&gt;= "&amp;R43)-COUNTIF(Vertices[Clustering Coefficient],"&gt;="&amp;R44)</f>
        <v>0</v>
      </c>
      <c r="T43" s="41" t="e">
        <f ca="1" t="shared" si="9"/>
        <v>#REF!</v>
      </c>
      <c r="U43" s="42" t="e">
        <f ca="1" t="shared" si="0"/>
        <v>#REF!</v>
      </c>
    </row>
    <row r="44" spans="1:21" ht="15">
      <c r="A44" s="35" t="s">
        <v>82</v>
      </c>
      <c r="B44" s="48">
        <f>IF(COUNT(Vertices[Degree])&gt;0,D45,NoMetricMessage)</f>
        <v>6</v>
      </c>
      <c r="D44" s="34">
        <f t="shared" si="1"/>
        <v>5.883720930232565</v>
      </c>
      <c r="E44" s="3">
        <f>COUNTIF(Vertices[Degree],"&gt;= "&amp;D44)-COUNTIF(Vertices[Degree],"&gt;="&amp;D45)</f>
        <v>0</v>
      </c>
      <c r="F44" s="39">
        <f t="shared" si="2"/>
        <v>3.906976744186049</v>
      </c>
      <c r="G44" s="40">
        <f>COUNTIF(Vertices[In-Degree],"&gt;= "&amp;F44)-COUNTIF(Vertices[In-Degree],"&gt;="&amp;F45)</f>
        <v>0</v>
      </c>
      <c r="H44" s="39">
        <f t="shared" si="3"/>
        <v>3.906976744186049</v>
      </c>
      <c r="I44" s="40">
        <f>COUNTIF(Vertices[Out-Degree],"&gt;= "&amp;H44)-COUNTIF(Vertices[Out-Degree],"&gt;="&amp;H45)</f>
        <v>0</v>
      </c>
      <c r="J44" s="39">
        <f t="shared" si="4"/>
        <v>27.348837209302342</v>
      </c>
      <c r="K44" s="40">
        <f>COUNTIF(Vertices[Betweenness Centrality],"&gt;= "&amp;J44)-COUNTIF(Vertices[Betweenness Centrality],"&gt;="&amp;J45)</f>
        <v>0</v>
      </c>
      <c r="L44" s="39">
        <f t="shared" si="5"/>
        <v>0.0705697906976744</v>
      </c>
      <c r="M44" s="40">
        <f>COUNTIF(Vertices[Closeness Centrality],"&gt;= "&amp;L44)-COUNTIF(Vertices[Closeness Centrality],"&gt;="&amp;L45)</f>
        <v>0</v>
      </c>
      <c r="N44" s="39">
        <f t="shared" si="6"/>
        <v>0.16743706976744177</v>
      </c>
      <c r="O44" s="40">
        <f>COUNTIF(Vertices[Eigenvector Centrality],"&gt;= "&amp;N44)-COUNTIF(Vertices[Eigenvector Centrality],"&gt;="&amp;N45)</f>
        <v>0</v>
      </c>
      <c r="P44" s="39">
        <f t="shared" si="7"/>
        <v>1.4491313720930235</v>
      </c>
      <c r="Q44" s="40">
        <f>COUNTIF(Vertices[PageRank],"&gt;= "&amp;P44)-COUNTIF(Vertices[PageRank],"&gt;="&amp;P45)</f>
        <v>0</v>
      </c>
      <c r="R44" s="39">
        <f t="shared" si="8"/>
        <v>0.4883720930232561</v>
      </c>
      <c r="S44" s="45">
        <f>COUNTIF(Vertices[Clustering Coefficient],"&gt;= "&amp;R44)-COUNTIF(Vertices[Clustering Coefficient],"&gt;="&amp;R45)</f>
        <v>0</v>
      </c>
      <c r="T44" s="39" t="e">
        <f ca="1" t="shared" si="9"/>
        <v>#REF!</v>
      </c>
      <c r="U44" s="40" t="e">
        <f ca="1" t="shared" si="0"/>
        <v>#REF!</v>
      </c>
    </row>
    <row r="45" spans="1:21" ht="15">
      <c r="A45" s="35" t="s">
        <v>83</v>
      </c>
      <c r="B45" s="49">
        <f>_xlfn.IFERROR(AVERAGE(Vertices[Degree]),NoMetricMessage)</f>
        <v>3.6</v>
      </c>
      <c r="D45" s="34">
        <f>MAX(Vertices[Degree])</f>
        <v>6</v>
      </c>
      <c r="E45" s="3">
        <f>COUNTIF(Vertices[Degree],"&gt;= "&amp;D45)-COUNTIF(Vertices[Degree],"&gt;="&amp;D46)</f>
        <v>1</v>
      </c>
      <c r="F45" s="43">
        <f>MAX(Vertices[In-Degree])</f>
        <v>4</v>
      </c>
      <c r="G45" s="44">
        <f>COUNTIF(Vertices[In-Degree],"&gt;= "&amp;F45)-COUNTIF(Vertices[In-Degree],"&gt;="&amp;F46)</f>
        <v>1</v>
      </c>
      <c r="H45" s="43">
        <f>MAX(Vertices[Out-Degree])</f>
        <v>4</v>
      </c>
      <c r="I45" s="44">
        <f>COUNTIF(Vertices[Out-Degree],"&gt;= "&amp;H45)-COUNTIF(Vertices[Out-Degree],"&gt;="&amp;H46)</f>
        <v>1</v>
      </c>
      <c r="J45" s="43">
        <f>MAX(Vertices[Betweenness Centrality])</f>
        <v>28</v>
      </c>
      <c r="K45" s="44">
        <f>COUNTIF(Vertices[Betweenness Centrality],"&gt;= "&amp;J45)-COUNTIF(Vertices[Betweenness Centrality],"&gt;="&amp;J46)</f>
        <v>1</v>
      </c>
      <c r="L45" s="43">
        <f>MAX(Vertices[Closeness Centrality])</f>
        <v>0.071429</v>
      </c>
      <c r="M45" s="44">
        <f>COUNTIF(Vertices[Closeness Centrality],"&gt;= "&amp;L45)-COUNTIF(Vertices[Closeness Centrality],"&gt;="&amp;L46)</f>
        <v>2</v>
      </c>
      <c r="N45" s="43">
        <f>MAX(Vertices[Eigenvector Centrality])</f>
        <v>0.171329</v>
      </c>
      <c r="O45" s="44">
        <f>COUNTIF(Vertices[Eigenvector Centrality],"&gt;= "&amp;N45)-COUNTIF(Vertices[Eigenvector Centrality],"&gt;="&amp;N46)</f>
        <v>1</v>
      </c>
      <c r="P45" s="43">
        <f>MAX(Vertices[PageRank])</f>
        <v>1.471392</v>
      </c>
      <c r="Q45" s="44">
        <f>COUNTIF(Vertices[PageRank],"&gt;= "&amp;P45)-COUNTIF(Vertices[PageRank],"&gt;="&amp;P46)</f>
        <v>1</v>
      </c>
      <c r="R45" s="43">
        <f>MAX(Vertices[Clustering Coefficient])</f>
        <v>0.5</v>
      </c>
      <c r="S45" s="47">
        <f>COUNTIF(Vertices[Clustering Coefficient],"&gt;= "&amp;R45)-COUNTIF(Vertices[Clustering Coefficient],"&gt;="&amp;R46)</f>
        <v>2</v>
      </c>
      <c r="T45" s="43" t="e">
        <f ca="1">MAX(INDIRECT(DynamicFilterSourceColumnRange))</f>
        <v>#REF!</v>
      </c>
      <c r="U45" s="44" t="e">
        <f ca="1" t="shared" si="0"/>
        <v>#REF!</v>
      </c>
    </row>
    <row r="46" spans="1:2" ht="15">
      <c r="A46" s="35" t="s">
        <v>84</v>
      </c>
      <c r="B46" s="49">
        <f>_xlfn.IFERROR(MEDIAN(Vertices[Degree]),NoMetricMessage)</f>
        <v>3.5</v>
      </c>
    </row>
    <row r="57" spans="1:2" ht="15">
      <c r="A57" s="35" t="s">
        <v>88</v>
      </c>
      <c r="B57" s="48">
        <f>IF(COUNT(Vertices[In-Degree])&gt;0,F2,NoMetricMessage)</f>
        <v>0</v>
      </c>
    </row>
    <row r="58" spans="1:2" ht="15">
      <c r="A58" s="35" t="s">
        <v>89</v>
      </c>
      <c r="B58" s="48">
        <f>IF(COUNT(Vertices[In-Degree])&gt;0,F45,NoMetricMessage)</f>
        <v>4</v>
      </c>
    </row>
    <row r="59" spans="1:2" ht="15">
      <c r="A59" s="35" t="s">
        <v>90</v>
      </c>
      <c r="B59" s="49">
        <f>_xlfn.IFERROR(AVERAGE(Vertices[In-Degree]),NoMetricMessage)</f>
        <v>1.8</v>
      </c>
    </row>
    <row r="60" spans="1:2" ht="15">
      <c r="A60" s="35" t="s">
        <v>91</v>
      </c>
      <c r="B60" s="49">
        <f>_xlfn.IFERROR(MEDIAN(Vertices[In-Degree]),NoMetricMessage)</f>
        <v>1.5</v>
      </c>
    </row>
    <row r="71" spans="1:2" ht="15">
      <c r="A71" s="35" t="s">
        <v>94</v>
      </c>
      <c r="B71" s="48">
        <f>IF(COUNT(Vertices[Out-Degree])&gt;0,H2,NoMetricMessage)</f>
        <v>0</v>
      </c>
    </row>
    <row r="72" spans="1:2" ht="15">
      <c r="A72" s="35" t="s">
        <v>95</v>
      </c>
      <c r="B72" s="48">
        <f>IF(COUNT(Vertices[Out-Degree])&gt;0,H45,NoMetricMessage)</f>
        <v>4</v>
      </c>
    </row>
    <row r="73" spans="1:2" ht="15">
      <c r="A73" s="35" t="s">
        <v>96</v>
      </c>
      <c r="B73" s="49">
        <f>_xlfn.IFERROR(AVERAGE(Vertices[Out-Degree]),NoMetricMessage)</f>
        <v>1.8</v>
      </c>
    </row>
    <row r="74" spans="1:2" ht="15">
      <c r="A74" s="35" t="s">
        <v>97</v>
      </c>
      <c r="B74" s="49">
        <f>_xlfn.IFERROR(MEDIAN(Vertices[Out-Degree]),NoMetricMessage)</f>
        <v>1.5</v>
      </c>
    </row>
    <row r="85" spans="1:2" ht="15">
      <c r="A85" s="35" t="s">
        <v>100</v>
      </c>
      <c r="B85" s="49">
        <f>IF(COUNT(Vertices[Betweenness Centrality])&gt;0,J2,NoMetricMessage)</f>
        <v>0</v>
      </c>
    </row>
    <row r="86" spans="1:2" ht="15">
      <c r="A86" s="35" t="s">
        <v>101</v>
      </c>
      <c r="B86" s="49">
        <f>IF(COUNT(Vertices[Betweenness Centrality])&gt;0,J45,NoMetricMessage)</f>
        <v>28</v>
      </c>
    </row>
    <row r="87" spans="1:2" ht="15">
      <c r="A87" s="35" t="s">
        <v>102</v>
      </c>
      <c r="B87" s="49">
        <f>_xlfn.IFERROR(AVERAGE(Vertices[Betweenness Centrality]),NoMetricMessage)</f>
        <v>8.8000001</v>
      </c>
    </row>
    <row r="88" spans="1:2" ht="15">
      <c r="A88" s="35" t="s">
        <v>103</v>
      </c>
      <c r="B88" s="49">
        <f>_xlfn.IFERROR(MEDIAN(Vertices[Betweenness Centrality]),NoMetricMessage)</f>
        <v>4.5</v>
      </c>
    </row>
    <row r="99" spans="1:2" ht="15">
      <c r="A99" s="35" t="s">
        <v>106</v>
      </c>
      <c r="B99" s="49">
        <f>IF(COUNT(Vertices[Closeness Centrality])&gt;0,L2,NoMetricMessage)</f>
        <v>0.034483</v>
      </c>
    </row>
    <row r="100" spans="1:2" ht="15">
      <c r="A100" s="35" t="s">
        <v>107</v>
      </c>
      <c r="B100" s="49">
        <f>IF(COUNT(Vertices[Closeness Centrality])&gt;0,L45,NoMetricMessage)</f>
        <v>0.071429</v>
      </c>
    </row>
    <row r="101" spans="1:2" ht="15">
      <c r="A101" s="35" t="s">
        <v>108</v>
      </c>
      <c r="B101" s="49">
        <f>_xlfn.IFERROR(AVERAGE(Vertices[Closeness Centrality]),NoMetricMessage)</f>
        <v>0.058705400000000005</v>
      </c>
    </row>
    <row r="102" spans="1:2" ht="15">
      <c r="A102" s="35" t="s">
        <v>109</v>
      </c>
      <c r="B102" s="49">
        <f>_xlfn.IFERROR(MEDIAN(Vertices[Closeness Centrality]),NoMetricMessage)</f>
        <v>0.058824</v>
      </c>
    </row>
    <row r="113" spans="1:2" ht="15">
      <c r="A113" s="35" t="s">
        <v>112</v>
      </c>
      <c r="B113" s="49">
        <f>IF(COUNT(Vertices[Eigenvector Centrality])&gt;0,N2,NoMetricMessage)</f>
        <v>0.003976</v>
      </c>
    </row>
    <row r="114" spans="1:2" ht="15">
      <c r="A114" s="35" t="s">
        <v>113</v>
      </c>
      <c r="B114" s="49">
        <f>IF(COUNT(Vertices[Eigenvector Centrality])&gt;0,N45,NoMetricMessage)</f>
        <v>0.171329</v>
      </c>
    </row>
    <row r="115" spans="1:2" ht="15">
      <c r="A115" s="35" t="s">
        <v>114</v>
      </c>
      <c r="B115" s="49">
        <f>_xlfn.IFERROR(AVERAGE(Vertices[Eigenvector Centrality]),NoMetricMessage)</f>
        <v>0.0999999</v>
      </c>
    </row>
    <row r="116" spans="1:2" ht="15">
      <c r="A116" s="35" t="s">
        <v>115</v>
      </c>
      <c r="B116" s="49">
        <f>_xlfn.IFERROR(MEDIAN(Vertices[Eigenvector Centrality]),NoMetricMessage)</f>
        <v>0.1136285</v>
      </c>
    </row>
    <row r="127" spans="1:2" ht="15">
      <c r="A127" s="35" t="s">
        <v>140</v>
      </c>
      <c r="B127" s="49">
        <f>IF(COUNT(Vertices[PageRank])&gt;0,P2,NoMetricMessage)</f>
        <v>0.514185</v>
      </c>
    </row>
    <row r="128" spans="1:2" ht="15">
      <c r="A128" s="35" t="s">
        <v>141</v>
      </c>
      <c r="B128" s="49">
        <f>IF(COUNT(Vertices[PageRank])&gt;0,P45,NoMetricMessage)</f>
        <v>1.471392</v>
      </c>
    </row>
    <row r="129" spans="1:2" ht="15">
      <c r="A129" s="35" t="s">
        <v>142</v>
      </c>
      <c r="B129" s="49">
        <f>_xlfn.IFERROR(AVERAGE(Vertices[PageRank]),NoMetricMessage)</f>
        <v>0.9999473999999999</v>
      </c>
    </row>
    <row r="130" spans="1:2" ht="15">
      <c r="A130" s="35" t="s">
        <v>143</v>
      </c>
      <c r="B130" s="49">
        <f>_xlfn.IFERROR(MEDIAN(Vertices[PageRank]),NoMetricMessage)</f>
        <v>0.98579</v>
      </c>
    </row>
    <row r="141" spans="1:2" ht="15">
      <c r="A141" s="35" t="s">
        <v>118</v>
      </c>
      <c r="B141" s="49">
        <f>IF(COUNT(Vertices[Clustering Coefficient])&gt;0,R2,NoMetricMessage)</f>
        <v>0</v>
      </c>
    </row>
    <row r="142" spans="1:2" ht="15">
      <c r="A142" s="35" t="s">
        <v>119</v>
      </c>
      <c r="B142" s="49">
        <f>IF(COUNT(Vertices[Clustering Coefficient])&gt;0,R45,NoMetricMessage)</f>
        <v>0.5</v>
      </c>
    </row>
    <row r="143" spans="1:2" ht="15">
      <c r="A143" s="35" t="s">
        <v>120</v>
      </c>
      <c r="B143" s="49">
        <f>_xlfn.IFERROR(AVERAGE(Vertices[Clustering Coefficient]),NoMetricMessage)</f>
        <v>0.25999999999999995</v>
      </c>
    </row>
    <row r="144" spans="1:2" ht="15">
      <c r="A144" s="35" t="s">
        <v>121</v>
      </c>
      <c r="B144" s="49">
        <f>_xlfn.IFERROR(MEDIAN(Vertices[Clustering Coefficient]),NoMetricMessage)</f>
        <v>0.2583333333333333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104</v>
      </c>
    </row>
    <row r="3" spans="1:11" ht="15">
      <c r="A3" s="1" t="s">
        <v>52</v>
      </c>
      <c r="B3" s="1" t="s">
        <v>133</v>
      </c>
      <c r="C3" t="s">
        <v>52</v>
      </c>
      <c r="D3" t="s">
        <v>56</v>
      </c>
      <c r="E3" t="s">
        <v>56</v>
      </c>
      <c r="F3" s="1" t="s">
        <v>52</v>
      </c>
      <c r="G3" t="s">
        <v>66</v>
      </c>
      <c r="H3" t="s">
        <v>68</v>
      </c>
      <c r="J3" t="s">
        <v>30</v>
      </c>
      <c r="K3" t="s">
        <v>176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409.5">
      <c r="A6">
        <v>0</v>
      </c>
      <c r="B6" s="1" t="s">
        <v>136</v>
      </c>
      <c r="C6">
        <v>1</v>
      </c>
      <c r="D6" t="s">
        <v>59</v>
      </c>
      <c r="E6" t="s">
        <v>59</v>
      </c>
      <c r="F6">
        <v>0</v>
      </c>
      <c r="H6" t="s">
        <v>71</v>
      </c>
      <c r="J6" t="s">
        <v>173</v>
      </c>
      <c r="K6" s="13" t="s">
        <v>237</v>
      </c>
      <c r="R6" t="s">
        <v>129</v>
      </c>
    </row>
    <row r="7" spans="1:11" ht="409.5">
      <c r="A7">
        <v>2</v>
      </c>
      <c r="B7">
        <v>1</v>
      </c>
      <c r="C7">
        <v>0</v>
      </c>
      <c r="D7" t="s">
        <v>60</v>
      </c>
      <c r="E7" t="s">
        <v>60</v>
      </c>
      <c r="F7">
        <v>2</v>
      </c>
      <c r="H7" t="s">
        <v>72</v>
      </c>
      <c r="J7" t="s">
        <v>174</v>
      </c>
      <c r="K7" s="13" t="s">
        <v>238</v>
      </c>
    </row>
    <row r="8" spans="1:11" ht="15">
      <c r="A8"/>
      <c r="B8">
        <v>2</v>
      </c>
      <c r="C8">
        <v>2</v>
      </c>
      <c r="D8" t="s">
        <v>61</v>
      </c>
      <c r="E8" t="s">
        <v>61</v>
      </c>
      <c r="H8" t="s">
        <v>73</v>
      </c>
      <c r="J8" t="s">
        <v>175</v>
      </c>
      <c r="K8">
        <v>3</v>
      </c>
    </row>
    <row r="9" spans="1:11" ht="15">
      <c r="A9"/>
      <c r="B9">
        <v>3</v>
      </c>
      <c r="C9">
        <v>4</v>
      </c>
      <c r="D9" t="s">
        <v>62</v>
      </c>
      <c r="E9" t="s">
        <v>62</v>
      </c>
      <c r="H9" t="s">
        <v>74</v>
      </c>
      <c r="J9" t="s">
        <v>187</v>
      </c>
      <c r="K9" t="s">
        <v>188</v>
      </c>
    </row>
    <row r="10" spans="1:11" ht="15">
      <c r="A10"/>
      <c r="B10">
        <v>4</v>
      </c>
      <c r="D10" t="s">
        <v>63</v>
      </c>
      <c r="E10" t="s">
        <v>63</v>
      </c>
      <c r="H10" t="s">
        <v>75</v>
      </c>
      <c r="J10" t="s">
        <v>234</v>
      </c>
      <c r="K10" t="s">
        <v>235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99" t="s">
        <v>195</v>
      </c>
      <c r="B1" s="99" t="s">
        <v>196</v>
      </c>
    </row>
    <row r="2" spans="1:2" ht="15">
      <c r="A2" s="99"/>
      <c r="B2" s="99"/>
    </row>
    <row r="4" spans="1:2" ht="15" customHeight="1">
      <c r="A4" s="99" t="s">
        <v>198</v>
      </c>
      <c r="B4" s="99" t="s">
        <v>196</v>
      </c>
    </row>
    <row r="5" spans="1:2" ht="15">
      <c r="A5" s="99"/>
      <c r="B5" s="99"/>
    </row>
    <row r="7" spans="1:2" ht="15" customHeight="1">
      <c r="A7" s="99" t="s">
        <v>200</v>
      </c>
      <c r="B7" s="99" t="s">
        <v>196</v>
      </c>
    </row>
    <row r="8" spans="1:2" ht="15">
      <c r="A8" s="99"/>
      <c r="B8" s="99"/>
    </row>
    <row r="10" spans="1:2" ht="15" customHeight="1">
      <c r="A10" s="13" t="s">
        <v>202</v>
      </c>
      <c r="B10" s="13" t="s">
        <v>196</v>
      </c>
    </row>
    <row r="11" spans="1:2" ht="15">
      <c r="A11" s="101" t="s">
        <v>203</v>
      </c>
      <c r="B11" s="101">
        <v>0</v>
      </c>
    </row>
    <row r="12" spans="1:2" ht="15">
      <c r="A12" s="101" t="s">
        <v>204</v>
      </c>
      <c r="B12" s="101">
        <v>0</v>
      </c>
    </row>
    <row r="13" spans="1:2" ht="15">
      <c r="A13" s="101" t="s">
        <v>205</v>
      </c>
      <c r="B13" s="101">
        <v>0</v>
      </c>
    </row>
    <row r="14" spans="1:2" ht="15">
      <c r="A14" s="101" t="s">
        <v>206</v>
      </c>
      <c r="B14" s="101">
        <v>0</v>
      </c>
    </row>
    <row r="15" spans="1:2" ht="15">
      <c r="A15" s="101" t="s">
        <v>207</v>
      </c>
      <c r="B15" s="101">
        <v>0</v>
      </c>
    </row>
    <row r="18" spans="1:2" ht="15" customHeight="1">
      <c r="A18" s="99" t="s">
        <v>209</v>
      </c>
      <c r="B18" s="99" t="s">
        <v>196</v>
      </c>
    </row>
    <row r="19" spans="1:2" ht="15">
      <c r="A19" s="99"/>
      <c r="B19" s="99"/>
    </row>
    <row r="21" spans="1:2" ht="15" customHeight="1">
      <c r="A21" s="99" t="s">
        <v>211</v>
      </c>
      <c r="B21" s="99" t="s">
        <v>196</v>
      </c>
    </row>
    <row r="22" spans="1:2" ht="15">
      <c r="A22" s="99"/>
      <c r="B22" s="99"/>
    </row>
    <row r="24" spans="1:2" ht="15" customHeight="1">
      <c r="A24" s="99" t="s">
        <v>212</v>
      </c>
      <c r="B24" s="99" t="s">
        <v>196</v>
      </c>
    </row>
    <row r="25" spans="1:2" ht="15">
      <c r="A25" s="99"/>
      <c r="B25" s="99"/>
    </row>
    <row r="27" spans="1:2" ht="15" customHeight="1">
      <c r="A27" s="99" t="s">
        <v>215</v>
      </c>
      <c r="B27" s="99" t="s">
        <v>196</v>
      </c>
    </row>
    <row r="28" spans="1:2" ht="15">
      <c r="A28" s="102"/>
      <c r="B28" s="99"/>
    </row>
  </sheetData>
  <printOptions/>
  <pageMargins left="0.7" right="0.7" top="0.75" bottom="0.75" header="0.3" footer="0.3"/>
  <pageSetup orientation="portrait" paperSize="9"/>
  <tableParts>
    <tablePart r:id="rId8"/>
    <tablePart r:id="rId1"/>
    <tablePart r:id="rId2"/>
    <tablePart r:id="rId4"/>
    <tablePart r:id="rId5"/>
    <tablePart r:id="rId3"/>
    <tablePart r:id="rId6"/>
    <tablePart r:id="rId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7901865-CEC6-4262-9319-553B9F7A4D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Hansen</dc:creator>
  <cp:keywords/>
  <dc:description/>
  <cp:lastModifiedBy>lab</cp:lastModifiedBy>
  <dcterms:created xsi:type="dcterms:W3CDTF">2008-01-30T00:41:58Z</dcterms:created>
  <dcterms:modified xsi:type="dcterms:W3CDTF">2019-07-02T21:22:01Z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