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1.xml" ContentType="application/vnd.openxmlformats-officedocument.spreadsheetml.table+xml"/>
  <Override PartName="/xl/tables/table13.xml" ContentType="application/vnd.openxmlformats-officedocument.spreadsheetml.table+xml"/>
  <Override PartName="/xl/tables/table17.xml" ContentType="application/vnd.openxmlformats-officedocument.spreadsheetml.table+xml"/>
  <Override PartName="/xl/tables/table15.xml" ContentType="application/vnd.openxmlformats-officedocument.spreadsheetml.table+xml"/>
  <Override PartName="/xl/tables/table12.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7" activeTab="12"/>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Time Series Edges" sheetId="12" state="hidden" r:id="rId11"/>
    <sheet name="Top Items" sheetId="11" r:id="rId12"/>
    <sheet name="Time Series" sheetId="13" r:id="rId13"/>
  </sheets>
  <definedNames>
    <definedName name="BinDivisor">'Overall Metrics'!$X$2</definedName>
    <definedName name="DynamicFilterColumnName" localSheetId="10">#REF!</definedName>
    <definedName name="DynamicFilterColumnName">#REF!</definedName>
    <definedName name="DynamicFilterForceCalculationRange" localSheetId="10">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0">#REF!</definedName>
    <definedName name="DynamicFilterTableName">#REF!</definedName>
    <definedName name="LOCAL_MYSQL_DATE_FORMAT" localSheetId="1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4"/>
  </pivotCaches>
  <extLst>
    <ext xmlns:x14="http://schemas.microsoft.com/office/spreadsheetml/2009/9/main" uri="{BBE1A952-AA13-448e-AADC-164F8A28A991}">
      <x14:slicerCaches>
        <x14:slicerCache r:id="rId18"/>
        <x14:slicerCache r:id="rId19"/>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<sst xmlns="http://schemas.openxmlformats.org/spreadsheetml/2006/main" count="516" uniqueCount="347">
  <si>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</si>
  <si>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</si>
  <si>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</si>
  <si>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</si>
  <si>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</si>
  <si>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</si>
  <si>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</si>
  <si>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</si>
  <si>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</si>
  <si>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</si>
  <si>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</si>
  <si>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</si>
  <si>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</si>
  <si>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</si>
  <si>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</si>
  <si>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</si>
  <si>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</si>
  <si>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</si>
  <si>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</si>
  <si>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</si>
  <si>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</si>
  <si>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</si>
  <si>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</si>
  <si>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</si>
  <si>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</si>
  <si>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</si>
  <si>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</si>
  <si>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</si>
  <si>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</si>
  <si>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</si>
  <si>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</si>
  <si>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</si>
  <si>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</si>
  <si>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</si>
  <si>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</si>
  <si>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</si>
  <si>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</si>
  <si>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</si>
  <si>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</si>
  <si>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</si>
  <si>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</si>
  <si>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</si>
  <si>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</si>
  <si>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</si>
  <si>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</si>
  <si>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</si>
  <si>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</si>
  <si>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</si>
  <si>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</si>
  <si>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</si>
  <si>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</si>
  <si>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</si>
  <si>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</si>
  <si>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</si>
  <si>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</si>
  <si>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</si>
  <si>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</si>
  <si>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</si>
  <si>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</si>
  <si>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</si>
  <si>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</si>
  <si>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</si>
  <si>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</si>
  <si>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</si>
  <si>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</si>
  <si>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</si>
  <si>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</si>
  <si>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</si>
  <si>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</si>
  <si>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</si>
  <si>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</si>
  <si>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</si>
  <si>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</si>
  <si>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</si>
  <si>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</si>
  <si>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</si>
  <si>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</si>
  <si>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</si>
  <si>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</si>
  <si>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</si>
  <si>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</si>
  <si>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</si>
  <si>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</si>
  <si>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</si>
  <si>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</si>
  <si>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</si>
  <si>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</si>
  <si>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</si>
  <si>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</si>
  <si>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</si>
  <si>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</si>
  <si>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</si>
  <si>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</si>
  <si>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</si>
  <si>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</si>
  <si>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</si>
  <si>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</si>
  <si>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</si>
  <si>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</si>
  <si>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</si>
  <si>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</si>
  <si>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</si>
  <si>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</si>
  <si>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</si>
  <si>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</si>
  <si>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</si>
  <si>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</si>
  <si>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</si>
  <si>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</si>
  <si>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</si>
  <si>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</si>
  <si>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</si>
  <si>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</si>
  <si>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</si>
  <si>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</si>
  <si>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</si>
  <si>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</si>
  <si>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</si>
  <si>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</si>
  <si>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</si>
  <si>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</si>
  <si>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</si>
  <si>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</si>
  <si>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</si>
  <si>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</si>
  <si>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</si>
  <si>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</si>
  <si>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</si>
  <si>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</si>
  <si>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</si>
  <si>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</si>
  <si>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</si>
  <si>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</si>
  <si>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</si>
  <si>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</si>
  <si>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</si>
  <si>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</si>
  <si>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</si>
  <si>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</si>
  <si>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</si>
  <si>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</si>
  <si>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</si>
  <si>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</si>
  <si>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</si>
  <si>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</si>
  <si>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</si>
  <si>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</si>
  <si>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</si>
  <si>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</si>
  <si>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</si>
  <si>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</si>
  <si>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</si>
  <si>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</si>
  <si>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</si>
  <si>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</si>
  <si>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</si>
  <si>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</si>
  <si>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</si>
  <si>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</si>
  <si>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</si>
  <si>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</si>
  <si>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</si>
  <si>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</si>
  <si>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</si>
  <si>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</si>
  <si>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</si>
  <si>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</si>
  <si>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</si>
  <si>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</si>
  <si>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</si>
  <si>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</si>
  <si>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</si>
  <si>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</si>
  <si>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</si>
  <si>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</si>
  <si>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</si>
  <si>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</si>
  <si>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</si>
  <si>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</si>
  <si>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</si>
  <si>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</si>
  <si>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</si>
  <si>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</si>
  <si>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</si>
  <si>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</si>
  <si>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</si>
  <si>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</si>
  <si>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</si>
  <si>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</si>
  <si>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</si>
  <si>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</si>
  <si>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</si>
  <si>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</si>
  <si>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</si>
  <si>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</si>
  <si>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</si>
  <si>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</si>
  <si>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</si>
  <si>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</si>
  <si>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</si>
  <si>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</si>
  <si>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</si>
  <si>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</si>
  <si>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</si>
  <si>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</si>
  <si>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</si>
  <si>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</si>
  <si>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</si>
  <si>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</si>
  <si>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</si>
  <si>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</si>
  <si>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</si>
  <si>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</si>
  <si>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</si>
  <si>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</si>
  <si>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</si>
  <si>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</si>
  <si>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</si>
  <si>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</si>
  <si>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</si>
  <si>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</si>
  <si>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</si>
  <si>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</si>
  <si>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</si>
  <si>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</si>
  <si>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</si>
  <si>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</si>
  <si>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</si>
  <si>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</si>
  <si>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</si>
  <si>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</si>
  <si>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</si>
  <si>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</si>
  <si>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</si>
  <si>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</si>
  <si>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</si>
  <si>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</si>
  <si>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</si>
  <si>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</si>
  <si>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</si>
  <si>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 xml:space="preserve">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t>
  </si>
  <si>
    <t>Workbook Settings 5</t>
  </si>
  <si>
    <t>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t>
  </si>
  <si>
    <t>Workbook Settings 6</t>
  </si>
  <si>
    <t>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t>
  </si>
  <si>
    <t>Workbook Settings 7</t>
  </si>
  <si>
    <t>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
  </si>
  <si>
    <t>Workbook Settings 8</t>
  </si>
  <si>
    <t>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t>
  </si>
  <si>
    <t>Workbook Settings 9</t>
  </si>
  <si>
    <t>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t>
  </si>
  <si>
    <t>Workbook Settings 10</t>
  </si>
  <si>
    <t>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t>
  </si>
  <si>
    <t>Workbook Settings 11</t>
  </si>
  <si>
    <t>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t>
  </si>
  <si>
    <t>Workbook Settings 12</t>
  </si>
  <si>
    <t>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
  </si>
  <si>
    <t>Workbook Settings 13</t>
  </si>
  <si>
    <t>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t>
  </si>
  <si>
    <t>Workbook Settings 14</t>
  </si>
  <si>
    <t xml:space="preserve">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t>
  </si>
  <si>
    <t>Workbook Settings 15</t>
  </si>
  <si>
    <t>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t>
  </si>
  <si>
    <t>Workbook Settings 16</t>
  </si>
  <si>
    <t xml:space="preserve">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t>
  </si>
  <si>
    <t>Workbook Settings 17</t>
  </si>
  <si>
    <t>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t>
  </si>
  <si>
    <t>Workbook Settings 18</t>
  </si>
  <si>
    <t>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</si>
  <si>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</si>
  <si>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</si>
  <si>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</si>
  <si>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Vertex Group</t>
  </si>
  <si>
    <t>Vertex 1 Group</t>
  </si>
  <si>
    <t>Vertex 2 Group</t>
  </si>
  <si>
    <t>Graph Type</t>
  </si>
  <si>
    <t>Modularity</t>
  </si>
  <si>
    <t>NodeXL Version</t>
  </si>
  <si>
    <t>Not Applicable</t>
  </si>
  <si>
    <t>1.0.1.413</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</si>
  <si>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</si>
  <si>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</si>
  <si>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</si>
  <si>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</si>
  <si>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</si>
  <si>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</si>
  <si>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</si>
  <si>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</si>
  <si>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Words in Sentiment List#1: Positive</t>
  </si>
  <si>
    <t>Words in Sentiment List#2: Negative</t>
  </si>
  <si>
    <t>Words in Sentiment List#3: Angry/Violent</t>
  </si>
  <si>
    <t>Non-categorized Words</t>
  </si>
  <si>
    <t>Total Words</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</si>
  <si>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</si>
  <si>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</si>
  <si>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</si>
  <si>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</si>
  <si>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</si>
  <si>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</si>
  <si>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</si>
  <si>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</si>
  <si>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</si>
  <si>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</si>
  <si>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</si>
  <si>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</si>
  <si>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</si>
  <si>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</si>
  <si>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</si>
  <si>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</si>
  <si>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Top Words in Tweet by Salience</t>
  </si>
  <si>
    <t>Top Word Pairs in Tweet by Count</t>
  </si>
  <si>
    <t>Top Word Pairs in Tweet by Salience</t>
  </si>
  <si>
    <t>Word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</si>
  <si>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</si>
  <si>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</si>
  <si>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</si>
  <si>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</si>
  <si>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</si>
  <si>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</si>
  <si>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</si>
  <si>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</si>
  <si>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</si>
  <si>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</si>
  <si>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</si>
  <si>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</si>
  <si>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</si>
  <si>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</si>
  <si>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</si>
  <si>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</si>
  <si>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</si>
  <si>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</si>
  <si>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</si>
  <si>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</si>
  <si>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</si>
  <si>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</si>
  <si>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</si>
  <si>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</si>
  <si>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</si>
  <si>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</si>
  <si>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Top 10 Vertices, Ranked by Betweenness Centrality</t>
  </si>
  <si>
    <t>Count of Tweet Date (UTC)</t>
  </si>
  <si>
    <t>Row Labels</t>
  </si>
  <si>
    <t>(blank)</t>
  </si>
  <si>
    <t>Grand Total</t>
  </si>
  <si>
    <t>Autofill Workbook Results</t>
  </si>
  <si>
    <t>▓0▓0▓0▓True▓Black▓Black▓▓▓0▓0▓0▓0▓0▓False▓▓0▓0▓0▓0▓0▓False▓▓0▓0▓0▓True▓Black▓Black▓▓▓0▓0▓0▓0▓0▓False▓▓0▓0▓0▓0▓0▓False▓▓0▓0▓0▓0▓0▓False▓▓0▓0▓0▓0▓0▓False</t>
  </si>
  <si>
    <t>GraphSource░GraphServerTwitterSearch▓GraphTerm░SkyNews lang%3Aar▓ImportDescription░The graph represents a network of 0 Twitter users whose tweets in the requested range contained "SkyNews lang%3Aar", or who was replied to or mentioned in those tweets.  The network was obtained from the NodeXL Graph Server on Monday, 17 June 2019 at 00:46 UTC.
The requested start date was Sunday, 16 June 2019 at 00:01 UTC and the maximum number of days (going backward) was 14.
The maximum number of tweets collected was 5,000.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</si>
</sst>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9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3" borderId="1" xfId="27" applyNumberFormat="1" applyAlignment="1">
      <alignment/>
    </xf>
    <xf numFmtId="0" fontId="0" fillId="0" borderId="0" xfId="0" applyAlignment="1" quotePrefix="1">
      <alignment/>
    </xf>
    <xf numFmtId="49" fontId="0" fillId="4" borderId="1" xfId="24" applyNumberFormat="1" applyAlignment="1">
      <alignment wrapText="1"/>
    </xf>
    <xf numFmtId="167" fontId="0" fillId="0" borderId="0" xfId="0"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31">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30"/>
      <tableStyleElement type="headerRow" dxfId="329"/>
    </tableStyle>
    <tableStyle name="NodeXL Table" pivot="0" count="1">
      <tableStyleElement type="headerRow" dxfId="32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pivotCacheDefinition" Target="pivotCache/pivotCacheDefinition1.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customXml" Target="../customXml/item1.xml" /><Relationship Id="rId18" Type="http://schemas.microsoft.com/office/2007/relationships/slicerCache" Target="/xl/slicerCaches/slicerCache1.xml" /><Relationship Id="rId19" Type="http://schemas.microsoft.com/office/2007/relationships/slicerCache" Target="/xl/slicerCaches/slicerCache2.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8245701"/>
        <c:axId val="29993582"/>
      </c:barChart>
      <c:catAx>
        <c:axId val="1824570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9993582"/>
        <c:crosses val="autoZero"/>
        <c:auto val="1"/>
        <c:lblOffset val="100"/>
        <c:noMultiLvlLbl val="0"/>
      </c:catAx>
      <c:valAx>
        <c:axId val="299935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2457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SkyNews lang%3Aar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58177327"/>
        <c:axId val="53833896"/>
      </c:barChart>
      <c:catAx>
        <c:axId val="58177327"/>
        <c:scaling>
          <c:orientation val="minMax"/>
        </c:scaling>
        <c:axPos val="b"/>
        <c:delete val="0"/>
        <c:numFmt formatCode="General" sourceLinked="1"/>
        <c:majorTickMark val="out"/>
        <c:minorTickMark val="none"/>
        <c:tickLblPos val="nextTo"/>
        <c:crossAx val="53833896"/>
        <c:crosses val="autoZero"/>
        <c:auto val="1"/>
        <c:lblOffset val="100"/>
        <c:noMultiLvlLbl val="0"/>
      </c:catAx>
      <c:valAx>
        <c:axId val="53833896"/>
        <c:scaling>
          <c:orientation val="minMax"/>
        </c:scaling>
        <c:axPos val="l"/>
        <c:majorGridlines/>
        <c:delete val="0"/>
        <c:numFmt formatCode="General" sourceLinked="1"/>
        <c:majorTickMark val="out"/>
        <c:minorTickMark val="none"/>
        <c:tickLblPos val="nextTo"/>
        <c:crossAx val="5817732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506783"/>
        <c:axId val="13561048"/>
      </c:barChart>
      <c:catAx>
        <c:axId val="150678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3561048"/>
        <c:crosses val="autoZero"/>
        <c:auto val="1"/>
        <c:lblOffset val="100"/>
        <c:noMultiLvlLbl val="0"/>
      </c:catAx>
      <c:valAx>
        <c:axId val="135610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067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4940569"/>
        <c:axId val="24703074"/>
      </c:barChart>
      <c:catAx>
        <c:axId val="5494056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4703074"/>
        <c:crosses val="autoZero"/>
        <c:auto val="1"/>
        <c:lblOffset val="100"/>
        <c:noMultiLvlLbl val="0"/>
      </c:catAx>
      <c:valAx>
        <c:axId val="247030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9405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1001075"/>
        <c:axId val="54791948"/>
      </c:barChart>
      <c:catAx>
        <c:axId val="2100107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4791948"/>
        <c:crosses val="autoZero"/>
        <c:auto val="1"/>
        <c:lblOffset val="100"/>
        <c:noMultiLvlLbl val="0"/>
      </c:catAx>
      <c:valAx>
        <c:axId val="547919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0010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3365485"/>
        <c:axId val="8962774"/>
      </c:barChart>
      <c:catAx>
        <c:axId val="2336548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8962774"/>
        <c:crosses val="autoZero"/>
        <c:auto val="1"/>
        <c:lblOffset val="100"/>
        <c:noMultiLvlLbl val="0"/>
      </c:catAx>
      <c:valAx>
        <c:axId val="89627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3654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3556103"/>
        <c:axId val="54896064"/>
      </c:barChart>
      <c:catAx>
        <c:axId val="1355610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4896064"/>
        <c:crosses val="autoZero"/>
        <c:auto val="1"/>
        <c:lblOffset val="100"/>
        <c:noMultiLvlLbl val="0"/>
      </c:catAx>
      <c:valAx>
        <c:axId val="548960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5561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4302529"/>
        <c:axId val="17396170"/>
      </c:barChart>
      <c:catAx>
        <c:axId val="2430252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7396170"/>
        <c:crosses val="autoZero"/>
        <c:auto val="1"/>
        <c:lblOffset val="100"/>
        <c:noMultiLvlLbl val="0"/>
      </c:catAx>
      <c:valAx>
        <c:axId val="173961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3025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2347803"/>
        <c:axId val="66912500"/>
      </c:barChart>
      <c:catAx>
        <c:axId val="2234780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6912500"/>
        <c:crosses val="autoZero"/>
        <c:auto val="1"/>
        <c:lblOffset val="100"/>
        <c:noMultiLvlLbl val="0"/>
      </c:catAx>
      <c:valAx>
        <c:axId val="669125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3478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65341589"/>
        <c:axId val="51203390"/>
      </c:barChart>
      <c:catAx>
        <c:axId val="65341589"/>
        <c:scaling>
          <c:orientation val="minMax"/>
        </c:scaling>
        <c:axPos val="b"/>
        <c:delete val="1"/>
        <c:majorTickMark val="out"/>
        <c:minorTickMark val="none"/>
        <c:tickLblPos val="none"/>
        <c:crossAx val="51203390"/>
        <c:crosses val="autoZero"/>
        <c:auto val="1"/>
        <c:lblOffset val="100"/>
        <c:noMultiLvlLbl val="0"/>
      </c:catAx>
      <c:valAx>
        <c:axId val="51203390"/>
        <c:scaling>
          <c:orientation val="minMax"/>
        </c:scaling>
        <c:axPos val="l"/>
        <c:delete val="1"/>
        <c:majorTickMark val="out"/>
        <c:minorTickMark val="none"/>
        <c:tickLblPos val="none"/>
        <c:crossAx val="6534158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Smith" refreshedVersion="5">
  <cacheSource type="worksheet">
    <worksheetSource ref="A2:BL3" sheet="Time Series Edges"/>
  </cacheSource>
  <cacheFields count="64">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1" count="0"/>
    </cacheField>
    <cacheField name="Sentiment List #1: Positive Word Percentage (%)" numFmtId="167">
      <sharedItems containsString="0" containsBlank="1" containsMixedTypes="1" count="0"/>
    </cacheField>
    <cacheField name="Sentiment List #2: Negative Word Count" numFmtId="1">
      <sharedItems containsString="0" containsBlank="1" containsMixedTypes="1" count="0"/>
    </cacheField>
    <cacheField name="Sentiment List #2: Negative Word Percentage (%)" numFmtId="167">
      <sharedItems containsString="0" containsBlank="1" containsMixedTypes="1" count="0"/>
    </cacheField>
    <cacheField name="Sentiment List #3: Angry/Violent Word Count" numFmtId="1">
      <sharedItems containsString="0" containsBlank="1" containsMixedTypes="1" count="0"/>
    </cacheField>
    <cacheField name="Sentiment List #3: Angry/Violent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3"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3"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3" totalsRowShown="0" headerRowDxfId="327" dataDxfId="326">
  <autoFilter ref="A2:BL3"/>
  <tableColumns count="64">
    <tableColumn id="1" name="Vertex 1" dataDxfId="325"/>
    <tableColumn id="2" name="Vertex 2" dataDxfId="324"/>
    <tableColumn id="3" name="Color" dataDxfId="323"/>
    <tableColumn id="4" name="Width" dataDxfId="322"/>
    <tableColumn id="11" name="Style" dataDxfId="321"/>
    <tableColumn id="5" name="Opacity" dataDxfId="320"/>
    <tableColumn id="6" name="Visibility" dataDxfId="319"/>
    <tableColumn id="10" name="Label" dataDxfId="318"/>
    <tableColumn id="12" name="Label Text Color" dataDxfId="317"/>
    <tableColumn id="13" name="Label Font Size" dataDxfId="316"/>
    <tableColumn id="14" name="Reciprocated?" dataDxfId="78"/>
    <tableColumn id="7" name="ID" dataDxfId="315"/>
    <tableColumn id="9" name="Dynamic Filter" dataDxfId="314"/>
    <tableColumn id="8" name="Add Your Own Columns Here" dataDxfId="313"/>
    <tableColumn id="15" name="Relationship" dataDxfId="312"/>
    <tableColumn id="16" name="Relationship Date (UTC)" dataDxfId="311"/>
    <tableColumn id="17" name="Tweet" dataDxfId="310"/>
    <tableColumn id="18" name="URLs in Tweet" dataDxfId="309"/>
    <tableColumn id="19" name="Domains in Tweet" dataDxfId="308"/>
    <tableColumn id="20" name="Hashtags in Tweet" dataDxfId="307"/>
    <tableColumn id="21" name="Media in Tweet" dataDxfId="306"/>
    <tableColumn id="22" name="Tweet Image File" dataDxfId="305"/>
    <tableColumn id="23" name="Tweet Date (UTC)" dataDxfId="304"/>
    <tableColumn id="24" name="Twitter Page for Tweet" dataDxfId="303"/>
    <tableColumn id="25" name="Latitude" dataDxfId="302"/>
    <tableColumn id="26" name="Longitude" dataDxfId="301"/>
    <tableColumn id="27" name="Imported ID" dataDxfId="300"/>
    <tableColumn id="28" name="In-Reply-To Tweet ID" dataDxfId="299"/>
    <tableColumn id="29" name="Favorited" dataDxfId="298"/>
    <tableColumn id="30" name="Favorite Count" dataDxfId="297"/>
    <tableColumn id="31" name="In-Reply-To User ID" dataDxfId="296"/>
    <tableColumn id="32" name="Is Quote Status" dataDxfId="295"/>
    <tableColumn id="33" name="Language" dataDxfId="294"/>
    <tableColumn id="34" name="Possibly Sensitive" dataDxfId="293"/>
    <tableColumn id="35" name="Quoted Status ID" dataDxfId="292"/>
    <tableColumn id="36" name="Retweeted" dataDxfId="291"/>
    <tableColumn id="37" name="Retweet Count" dataDxfId="290"/>
    <tableColumn id="38" name="Retweet ID" dataDxfId="289"/>
    <tableColumn id="39" name="Source" dataDxfId="288"/>
    <tableColumn id="40" name="Truncated" dataDxfId="287"/>
    <tableColumn id="41" name="Unified Twitter ID" dataDxfId="286"/>
    <tableColumn id="42" name="Imported Tweet Type" dataDxfId="285"/>
    <tableColumn id="43" name="Added By Extended Analysis" dataDxfId="284"/>
    <tableColumn id="44" name="Corrected By Extended Analysis" dataDxfId="283"/>
    <tableColumn id="45" name="Place Bounding Box" dataDxfId="282"/>
    <tableColumn id="46" name="Place Country" dataDxfId="281"/>
    <tableColumn id="47" name="Place Country Code" dataDxfId="280"/>
    <tableColumn id="48" name="Place Full Name" dataDxfId="279"/>
    <tableColumn id="49" name="Place ID" dataDxfId="278"/>
    <tableColumn id="50" name="Place Name" dataDxfId="277"/>
    <tableColumn id="51" name="Place Type" dataDxfId="276"/>
    <tableColumn id="52" name="Place URL" dataDxfId="275"/>
    <tableColumn id="53" name="Edge Weight"/>
    <tableColumn id="54" name="Vertex 1 Group" dataDxfId="184">
      <calculatedColumnFormula>REPLACE(INDEX(GroupVertices[Group], MATCH(Edges[[#This Row],[Vertex 1]],GroupVertices[Vertex],0)),1,1,"")</calculatedColumnFormula>
    </tableColumn>
    <tableColumn id="55" name="Vertex 2 Group" dataDxfId="108">
      <calculatedColumnFormula>REPLACE(INDEX(GroupVertices[Group], MATCH(Edges[[#This Row],[Vertex 2]],GroupVertices[Vertex],0)),1,1,"")</calculatedColumnFormula>
    </tableColumn>
    <tableColumn id="56" name="Sentiment List #1: Positive Word Count" dataDxfId="107"/>
    <tableColumn id="57" name="Sentiment List #1: Positive Word Percentage (%)" dataDxfId="106"/>
    <tableColumn id="58" name="Sentiment List #2: Negative Word Count" dataDxfId="105"/>
    <tableColumn id="59" name="Sentiment List #2: Negative Word Percentage (%)" dataDxfId="104"/>
    <tableColumn id="60" name="Sentiment List #3: Angry/Violent Word Count" dataDxfId="103"/>
    <tableColumn id="61" name="Sentiment List #3: Angry/Violent Word Percentage (%)" dataDxfId="102"/>
    <tableColumn id="62" name="Non-categorized Word Count" dataDxfId="101"/>
    <tableColumn id="63" name="Non-categorized Word Percentage (%)" dataDxfId="100"/>
    <tableColumn id="64" name="Edge Content Word Count" dataDxfId="9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9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B2" totalsRowShown="0" headerRowDxfId="181" dataDxfId="180">
  <autoFilter ref="A1:B2"/>
  <tableColumns count="2">
    <tableColumn id="1" name="Top URLs in Tweet in Entire Graph" dataDxfId="179"/>
    <tableColumn id="2" name="Entire Graph Count" dataDxfId="17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4:B5" totalsRowShown="0" headerRowDxfId="176" dataDxfId="175">
  <autoFilter ref="A4:B5"/>
  <tableColumns count="2">
    <tableColumn id="1" name="Top Domains in Tweet in Entire Graph" dataDxfId="174"/>
    <tableColumn id="2" name="Entire Graph Count" dataDxfId="17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7:B8" totalsRowShown="0" headerRowDxfId="171" dataDxfId="170">
  <autoFilter ref="A7:B8"/>
  <tableColumns count="2">
    <tableColumn id="1" name="Top Hashtags in Tweet in Entire Graph" dataDxfId="169"/>
    <tableColumn id="2" name="Entire Graph Count" dataDxfId="16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0:B15" totalsRowShown="0" headerRowDxfId="166" dataDxfId="165">
  <autoFilter ref="A10:B15"/>
  <tableColumns count="2">
    <tableColumn id="1" name="Top Words in Tweet in Entire Graph" dataDxfId="164"/>
    <tableColumn id="2" name="Entire Graph Count" dataDxfId="16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18:B19" totalsRowShown="0" headerRowDxfId="161" dataDxfId="160">
  <autoFilter ref="A18:B19"/>
  <tableColumns count="2">
    <tableColumn id="1" name="Top Word Pairs in Tweet in Entire Graph" dataDxfId="159"/>
    <tableColumn id="2" name="Entire Graph Count" dataDxfId="15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21:B22" totalsRowShown="0" headerRowDxfId="156" dataDxfId="155">
  <autoFilter ref="A21:B22"/>
  <tableColumns count="2">
    <tableColumn id="1" name="Top Replied-To in Entire Graph" dataDxfId="154"/>
    <tableColumn id="2" name="Entire Graph Count" dataDxfId="153"/>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24:B25" totalsRowShown="0" headerRowDxfId="152" dataDxfId="151">
  <autoFilter ref="A24:B25"/>
  <tableColumns count="2">
    <tableColumn id="1" name="Top Mentioned in Entire Graph" dataDxfId="150"/>
    <tableColumn id="2" name="Entire Graph Count" dataDxfId="14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27:B28" totalsRowShown="0" headerRowDxfId="146" dataDxfId="145">
  <autoFilter ref="A27:B28"/>
  <tableColumns count="2">
    <tableColumn id="1" name="Top Tweeters in Entire Graph" dataDxfId="144"/>
    <tableColumn id="2" name="Entire Graph Count" dataDxfId="143"/>
  </tableColumns>
  <tableStyleInfo name="NodeXL Table" showFirstColumn="0" showLastColumn="0" showRowStripes="1" showColumnStripes="0"/>
</table>
</file>

<file path=xl/tables/table19.xml><?xml version="1.0" encoding="utf-8"?>
<table xmlns="http://schemas.openxmlformats.org/spreadsheetml/2006/main" id="19" name="Words" displayName="Words" ref="A1:G6" totalsRowShown="0" headerRowDxfId="131" dataDxfId="130">
  <autoFilter ref="A1:G6"/>
  <tableColumns count="7">
    <tableColumn id="1" name="Word" dataDxfId="129"/>
    <tableColumn id="2" name="Count" dataDxfId="128"/>
    <tableColumn id="3" name="Salience" dataDxfId="127"/>
    <tableColumn id="4" name="Group" dataDxfId="126"/>
    <tableColumn id="5" name="Word on Sentiment List #1: Positive" dataDxfId="125"/>
    <tableColumn id="6" name="Word on Sentiment List #2: Negative" dataDxfId="124"/>
    <tableColumn id="7" name="Word on Sentiment List #3: Angry/Violent" dataDxfId="12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 totalsRowShown="0" headerRowDxfId="274" dataDxfId="273">
  <autoFilter ref="A2:BS3"/>
  <tableColumns count="71">
    <tableColumn id="1" name="Vertex" dataDxfId="272"/>
    <tableColumn id="2" name="Color" dataDxfId="271"/>
    <tableColumn id="5" name="Shape" dataDxfId="270"/>
    <tableColumn id="6" name="Size" dataDxfId="269"/>
    <tableColumn id="4" name="Opacity" dataDxfId="268"/>
    <tableColumn id="7" name="Image File" dataDxfId="267"/>
    <tableColumn id="3" name="Visibility" dataDxfId="266"/>
    <tableColumn id="10" name="Label" dataDxfId="265"/>
    <tableColumn id="16" name="Label Fill Color" dataDxfId="264"/>
    <tableColumn id="9" name="Label Position" dataDxfId="263"/>
    <tableColumn id="8" name="Tooltip" dataDxfId="262"/>
    <tableColumn id="18" name="Layout Order" dataDxfId="261"/>
    <tableColumn id="13" name="X" dataDxfId="260"/>
    <tableColumn id="14" name="Y" dataDxfId="259"/>
    <tableColumn id="12" name="Locked?" dataDxfId="258"/>
    <tableColumn id="19" name="Polar R" dataDxfId="257"/>
    <tableColumn id="20" name="Polar Angle" dataDxfId="256"/>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255"/>
    <tableColumn id="28" name="Dynamic Filter" dataDxfId="254"/>
    <tableColumn id="17" name="Add Your Own Columns Here" dataDxfId="253"/>
    <tableColumn id="30" name="Name" dataDxfId="252"/>
    <tableColumn id="31" name="Followed" dataDxfId="251"/>
    <tableColumn id="32" name="Followers" dataDxfId="250"/>
    <tableColumn id="33" name="Tweets" dataDxfId="249"/>
    <tableColumn id="34" name="Favorites" dataDxfId="248"/>
    <tableColumn id="35" name="Time Zone UTC Offset (Seconds)" dataDxfId="247"/>
    <tableColumn id="36" name="Description" dataDxfId="246"/>
    <tableColumn id="37" name="Location" dataDxfId="245"/>
    <tableColumn id="38" name="Web" dataDxfId="244"/>
    <tableColumn id="39" name="Time Zone" dataDxfId="243"/>
    <tableColumn id="40" name="Joined Twitter Date (UTC)" dataDxfId="242"/>
    <tableColumn id="41" name="Profile Banner Url" dataDxfId="241"/>
    <tableColumn id="42" name="Default Profile" dataDxfId="240"/>
    <tableColumn id="43" name="Default Profile Image" dataDxfId="239"/>
    <tableColumn id="44" name="Geo Enabled" dataDxfId="238"/>
    <tableColumn id="45" name="Language" dataDxfId="237"/>
    <tableColumn id="46" name="Listed Count" dataDxfId="236"/>
    <tableColumn id="47" name="Profile Background Image Url" dataDxfId="235"/>
    <tableColumn id="48" name="Verified" dataDxfId="234"/>
    <tableColumn id="49" name="Custom Menu Item Text" dataDxfId="233"/>
    <tableColumn id="50" name="Custom Menu Item Action" dataDxfId="232"/>
    <tableColumn id="51" name="Tweeted Search Term?" dataDxfId="185"/>
    <tableColumn id="52" name="Vertex Group" dataDxfId="141">
      <calculatedColumnFormula>REPLACE(INDEX(GroupVertices[Group], MATCH(Vertices[[#This Row],[Vertex]],GroupVertices[Vertex],0)),1,1,"")</calculatedColumnFormula>
    </tableColumn>
    <tableColumn id="53" name="Top URLs in Tweet by Count" dataDxfId="140"/>
    <tableColumn id="54" name="Top URLs in Tweet by Salience" dataDxfId="139"/>
    <tableColumn id="55" name="Top Domains in Tweet by Count" dataDxfId="138"/>
    <tableColumn id="56" name="Top Domains in Tweet by Salience" dataDxfId="137"/>
    <tableColumn id="57" name="Top Hashtags in Tweet by Count" dataDxfId="136"/>
    <tableColumn id="58" name="Top Hashtags in Tweet by Salience" dataDxfId="135"/>
    <tableColumn id="59" name="Top Words in Tweet by Count" dataDxfId="134"/>
    <tableColumn id="60" name="Top Words in Tweet by Salience" dataDxfId="133"/>
    <tableColumn id="61" name="Top Word Pairs in Tweet by Count" dataDxfId="132"/>
    <tableColumn id="62" name="Top Word Pairs in Tweet by Salience" dataDxfId="98"/>
    <tableColumn id="63" name="Sentiment List #1: Positive Word Count" dataDxfId="97"/>
    <tableColumn id="64" name="Sentiment List #1: Positive Word Percentage (%)" dataDxfId="96"/>
    <tableColumn id="65" name="Sentiment List #2: Negative Word Count" dataDxfId="95"/>
    <tableColumn id="66" name="Sentiment List #2: Negative Word Percentage (%)" dataDxfId="94"/>
    <tableColumn id="67" name="Sentiment List #3: Angry/Violent Word Count" dataDxfId="93"/>
    <tableColumn id="68" name="Sentiment List #3: Angry/Violent Word Percentage (%)" dataDxfId="92"/>
    <tableColumn id="69" name="Non-categorized Word Count" dataDxfId="91"/>
    <tableColumn id="70" name="Non-categorized Word Percentage (%)" dataDxfId="90"/>
    <tableColumn id="71" name="Vertex Content Word Count" dataDxfId="8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 totalsRowShown="0" headerRowDxfId="122" dataDxfId="121">
  <autoFilter ref="A1:L2"/>
  <tableColumns count="12">
    <tableColumn id="1" name="Word 1" dataDxfId="120"/>
    <tableColumn id="2" name="Word 2" dataDxfId="119"/>
    <tableColumn id="3" name="Count" dataDxfId="118"/>
    <tableColumn id="4" name="Salience" dataDxfId="117"/>
    <tableColumn id="5" name="Mutual Information" dataDxfId="116"/>
    <tableColumn id="6" name="Group" dataDxfId="115"/>
    <tableColumn id="7" name="Word1 on Sentiment List #1: Positive" dataDxfId="114"/>
    <tableColumn id="8" name="Word1 on Sentiment List #2: Negative" dataDxfId="113"/>
    <tableColumn id="9" name="Word1 on Sentiment List #3: Angry/Violent" dataDxfId="112"/>
    <tableColumn id="10" name="Word2 on Sentiment List #1: Positive" dataDxfId="111"/>
    <tableColumn id="11" name="Word2 on Sentiment List #2: Negative" dataDxfId="110"/>
    <tableColumn id="12" name="Word2 on Sentiment List #3: Angry/Violent" dataDxfId="109"/>
  </tableColumns>
  <tableStyleInfo name="NodeXL Table" showFirstColumn="0" showLastColumn="0" showRowStripes="1" showColumnStripes="0"/>
</table>
</file>

<file path=xl/tables/table21.xml><?xml version="1.0" encoding="utf-8"?>
<table xmlns="http://schemas.openxmlformats.org/spreadsheetml/2006/main" id="22" name="Edges23" displayName="Edges23" ref="A2:BL3" totalsRowShown="0" headerRowDxfId="64" dataDxfId="63">
  <autoFilter ref="A2:BL3"/>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MATCH(Edges23[[#This Row],[Vertex 1]],GroupVertices[Vertex],0)),1,1,"")</calculatedColumnFormula>
    </tableColumn>
    <tableColumn id="55" name="Vertex 2 Group" dataDxfId="9">
      <calculatedColumnFormula>REPLACE(INDEX(GroupVertices[Group], MATCH(Edges23[[#This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2.xml><?xml version="1.0" encoding="utf-8"?>
<table xmlns="http://schemas.openxmlformats.org/spreadsheetml/2006/main" id="21" name="TopItems_1" displayName="TopItems_1" ref="A1:B2" totalsRowShown="0" headerRowDxfId="68" dataDxfId="67">
  <autoFilter ref="A1:B2"/>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31">
  <autoFilter ref="A2:AO3"/>
  <tableColumns count="41">
    <tableColumn id="1" name="Group" dataDxfId="191"/>
    <tableColumn id="2" name="Vertex Color" dataDxfId="190"/>
    <tableColumn id="3" name="Vertex Shape" dataDxfId="189"/>
    <tableColumn id="22" name="Visibility" dataDxfId="230"/>
    <tableColumn id="4" name="Collapsed?"/>
    <tableColumn id="18" name="Label" dataDxfId="229"/>
    <tableColumn id="20" name="Collapsed X"/>
    <tableColumn id="21" name="Collapsed Y"/>
    <tableColumn id="6" name="ID" dataDxfId="228"/>
    <tableColumn id="19" name="Collapsed Properties" dataDxfId="227"/>
    <tableColumn id="5" name="Vertices" dataDxfId="226"/>
    <tableColumn id="7" name="Unique Edges" dataDxfId="225"/>
    <tableColumn id="8" name="Edges With Duplicates" dataDxfId="224"/>
    <tableColumn id="9" name="Total Edges" dataDxfId="223"/>
    <tableColumn id="10" name="Self-Loops" dataDxfId="222"/>
    <tableColumn id="24" name="Reciprocated Vertex Pair Ratio" dataDxfId="221"/>
    <tableColumn id="25" name="Reciprocated Edge Ratio" dataDxfId="220"/>
    <tableColumn id="11" name="Connected Components" dataDxfId="219"/>
    <tableColumn id="12" name="Single-Vertex Connected Components" dataDxfId="218"/>
    <tableColumn id="13" name="Maximum Vertices in a Connected Component" dataDxfId="217"/>
    <tableColumn id="14" name="Maximum Edges in a Connected Component" dataDxfId="216"/>
    <tableColumn id="15" name="Maximum Geodesic Distance (Diameter)" dataDxfId="215"/>
    <tableColumn id="16" name="Average Geodesic Distance" dataDxfId="214"/>
    <tableColumn id="17" name="Graph Density" dataDxfId="177"/>
    <tableColumn id="23" name="Top URLs in Tweet" dataDxfId="172"/>
    <tableColumn id="26" name="Top Domains in Tweet" dataDxfId="167"/>
    <tableColumn id="27" name="Top Hashtags in Tweet" dataDxfId="162"/>
    <tableColumn id="28" name="Top Words in Tweet" dataDxfId="157"/>
    <tableColumn id="29" name="Top Word Pairs in Tweet" dataDxfId="148"/>
    <tableColumn id="30" name="Top Replied-To in Tweet" dataDxfId="147"/>
    <tableColumn id="31" name="Top Mentioned in Tweet" dataDxfId="142"/>
    <tableColumn id="32" name="Top Tweeters" dataDxfId="88"/>
    <tableColumn id="33" name="Sentiment List #1: Positive Word Count" dataDxfId="87"/>
    <tableColumn id="34" name="Sentiment List #1: Positive Word Percentage (%)" dataDxfId="86"/>
    <tableColumn id="35" name="Sentiment List #2: Negative Word Count" dataDxfId="85"/>
    <tableColumn id="36" name="Sentiment List #2: Negative Word Percentage (%)" dataDxfId="84"/>
    <tableColumn id="37" name="Sentiment List #3: Angry/Violent Word Count" dataDxfId="83"/>
    <tableColumn id="38" name="Sentiment List #3: Angry/Violent Word Percentage (%)" dataDxfId="82"/>
    <tableColumn id="39" name="Non-categorized Word Count" dataDxfId="81"/>
    <tableColumn id="40" name="Non-categorized Word Percentage (%)" dataDxfId="80"/>
    <tableColumn id="41" name="Group Content Word Count"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13" dataDxfId="212">
  <autoFilter ref="A1:C2"/>
  <tableColumns count="3">
    <tableColumn id="1" name="Group" dataDxfId="188"/>
    <tableColumn id="2" name="Vertex" dataDxfId="187"/>
    <tableColumn id="3" name="Vertex ID" dataDxfId="18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83"/>
    <tableColumn id="2" name="Value" dataDxfId="1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11"/>
    <tableColumn id="2" name="Degree Frequency" dataDxfId="210">
      <calculatedColumnFormula>COUNTIF(Vertices[Degree], "&gt;= " &amp; D2) - COUNTIF(Vertices[Degree], "&gt;=" &amp; D3)</calculatedColumnFormula>
    </tableColumn>
    <tableColumn id="3" name="In-Degree Bin" dataDxfId="209"/>
    <tableColumn id="4" name="In-Degree Frequency" dataDxfId="208">
      <calculatedColumnFormula>COUNTIF(Vertices[In-Degree], "&gt;= " &amp; F2) - COUNTIF(Vertices[In-Degree], "&gt;=" &amp; F3)</calculatedColumnFormula>
    </tableColumn>
    <tableColumn id="5" name="Out-Degree Bin" dataDxfId="207"/>
    <tableColumn id="6" name="Out-Degree Frequency" dataDxfId="206">
      <calculatedColumnFormula>COUNTIF(Vertices[Out-Degree], "&gt;= " &amp; H2) - COUNTIF(Vertices[Out-Degree], "&gt;=" &amp; H3)</calculatedColumnFormula>
    </tableColumn>
    <tableColumn id="7" name="Betweenness Centrality Bin" dataDxfId="205"/>
    <tableColumn id="8" name="Betweenness Centrality Frequency" dataDxfId="204">
      <calculatedColumnFormula>COUNTIF(Vertices[Betweenness Centrality], "&gt;= " &amp; J2) - COUNTIF(Vertices[Betweenness Centrality], "&gt;=" &amp; J3)</calculatedColumnFormula>
    </tableColumn>
    <tableColumn id="9" name="Closeness Centrality Bin" dataDxfId="203"/>
    <tableColumn id="10" name="Closeness Centrality Frequency" dataDxfId="202">
      <calculatedColumnFormula>COUNTIF(Vertices[Closeness Centrality], "&gt;= " &amp; L2) - COUNTIF(Vertices[Closeness Centrality], "&gt;=" &amp; L3)</calculatedColumnFormula>
    </tableColumn>
    <tableColumn id="11" name="Eigenvector Centrality Bin" dataDxfId="201"/>
    <tableColumn id="12" name="Eigenvector Centrality Frequency" dataDxfId="200">
      <calculatedColumnFormula>COUNTIF(Vertices[Eigenvector Centrality], "&gt;= " &amp; N2) - COUNTIF(Vertices[Eigenvector Centrality], "&gt;=" &amp; N3)</calculatedColumnFormula>
    </tableColumn>
    <tableColumn id="18" name="PageRank Bin" dataDxfId="199"/>
    <tableColumn id="17" name="PageRank Frequency" dataDxfId="198">
      <calculatedColumnFormula>COUNTIF(Vertices[Eigenvector Centrality], "&gt;= " &amp; P2) - COUNTIF(Vertices[Eigenvector Centrality], "&gt;=" &amp; P3)</calculatedColumnFormula>
    </tableColumn>
    <tableColumn id="13" name="Clustering Coefficient Bin" dataDxfId="197"/>
    <tableColumn id="14" name="Clustering Coefficient Frequency" dataDxfId="196">
      <calculatedColumnFormula>COUNTIF(Vertices[Clustering Coefficient], "&gt;= " &amp; R2) - COUNTIF(Vertices[Clustering Coefficient], "&gt;=" &amp; R3)</calculatedColumnFormula>
    </tableColumn>
    <tableColumn id="15" name="Dynamic Filter Bin" dataDxfId="195"/>
    <tableColumn id="16" name="Dynamic Filter Frequency" dataDxfId="19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19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table" Target="../tables/table21.xml" /><Relationship Id="rId4"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 Id="rId2" Type="http://schemas.openxmlformats.org/officeDocument/2006/relationships/table" Target="../tables/table12.xml" /><Relationship Id="rId3" Type="http://schemas.openxmlformats.org/officeDocument/2006/relationships/table" Target="../tables/table13.xml" /><Relationship Id="rId4" Type="http://schemas.openxmlformats.org/officeDocument/2006/relationships/table" Target="../tables/table14.xml" /><Relationship Id="rId5" Type="http://schemas.openxmlformats.org/officeDocument/2006/relationships/table" Target="../tables/table15.xml" /><Relationship Id="rId6" Type="http://schemas.openxmlformats.org/officeDocument/2006/relationships/table" Target="../tables/table16.xml" /><Relationship Id="rId7" Type="http://schemas.openxmlformats.org/officeDocument/2006/relationships/table" Target="../tables/table17.xml" /><Relationship Id="rId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t="s">
        <v>271</v>
      </c>
      <c r="BB2" s="13" t="s">
        <v>273</v>
      </c>
      <c r="BC2" s="13" t="s">
        <v>274</v>
      </c>
      <c r="BD2" s="67" t="s">
        <v>328</v>
      </c>
      <c r="BE2" s="67" t="s">
        <v>329</v>
      </c>
      <c r="BF2" s="67" t="s">
        <v>330</v>
      </c>
      <c r="BG2" s="67" t="s">
        <v>331</v>
      </c>
      <c r="BH2" s="67" t="s">
        <v>332</v>
      </c>
      <c r="BI2" s="67" t="s">
        <v>333</v>
      </c>
      <c r="BJ2" s="67" t="s">
        <v>334</v>
      </c>
      <c r="BK2" s="67" t="s">
        <v>335</v>
      </c>
      <c r="BL2" s="67" t="s">
        <v>336</v>
      </c>
    </row>
    <row r="3" spans="1:64"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B3" s="83" t="e">
        <f>REPLACE(INDEX(GroupVertices[Group],MATCH(Edges[[#This Row],[Vertex 1]],GroupVertices[Vertex],0)),1,1,"")</f>
        <v>#N/A</v>
      </c>
      <c r="BC3" s="83" t="e">
        <f>REPLACE(INDEX(GroupVertices[Group],MATCH(Edges[[#This Row],[Vertex 2]],GroupVertices[Vertex],0)),1,1,"")</f>
        <v>#N/A</v>
      </c>
      <c r="BD3" s="50"/>
      <c r="BE3" s="51"/>
      <c r="BF3" s="50"/>
      <c r="BG3" s="51"/>
      <c r="BH3" s="50"/>
      <c r="BI3" s="51"/>
      <c r="BJ3" s="50"/>
      <c r="BK3" s="51"/>
      <c r="BL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83" t="s">
        <v>319</v>
      </c>
      <c r="B1" s="83" t="s">
        <v>320</v>
      </c>
      <c r="C1" s="83" t="s">
        <v>313</v>
      </c>
      <c r="D1" s="83" t="s">
        <v>314</v>
      </c>
      <c r="E1" s="83" t="s">
        <v>321</v>
      </c>
      <c r="F1" s="83" t="s">
        <v>144</v>
      </c>
      <c r="G1" s="83" t="s">
        <v>322</v>
      </c>
      <c r="H1" s="83" t="s">
        <v>323</v>
      </c>
      <c r="I1" s="83" t="s">
        <v>324</v>
      </c>
      <c r="J1" s="83" t="s">
        <v>325</v>
      </c>
      <c r="K1" s="83" t="s">
        <v>326</v>
      </c>
      <c r="L1" s="83" t="s">
        <v>327</v>
      </c>
    </row>
    <row r="2" spans="1:12" ht="15">
      <c r="A2" s="83"/>
      <c r="B2" s="83"/>
      <c r="C2" s="83"/>
      <c r="D2" s="89"/>
      <c r="E2" s="89"/>
      <c r="F2" s="83"/>
      <c r="G2" s="83"/>
      <c r="H2" s="83"/>
      <c r="I2" s="83"/>
      <c r="J2" s="83"/>
      <c r="K2" s="83"/>
      <c r="L2" s="83"/>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t="s">
        <v>271</v>
      </c>
      <c r="BB2" s="13" t="s">
        <v>273</v>
      </c>
      <c r="BC2" s="13" t="s">
        <v>274</v>
      </c>
      <c r="BD2" s="67" t="s">
        <v>328</v>
      </c>
      <c r="BE2" s="67" t="s">
        <v>329</v>
      </c>
      <c r="BF2" s="67" t="s">
        <v>330</v>
      </c>
      <c r="BG2" s="67" t="s">
        <v>331</v>
      </c>
      <c r="BH2" s="67" t="s">
        <v>332</v>
      </c>
      <c r="BI2" s="67" t="s">
        <v>333</v>
      </c>
      <c r="BJ2" s="67" t="s">
        <v>334</v>
      </c>
      <c r="BK2" s="67" t="s">
        <v>335</v>
      </c>
      <c r="BL2" s="67" t="s">
        <v>336</v>
      </c>
    </row>
    <row r="3" spans="1:64"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B3" s="83" t="e">
        <f>REPLACE(INDEX(GroupVertices[Group],MATCH(Edges23[[#This Row],[Vertex 1]],GroupVertices[Vertex],0)),1,1,"")</f>
        <v>#N/A</v>
      </c>
      <c r="BC3" s="83" t="e">
        <f>REPLACE(INDEX(GroupVertices[Group],MATCH(Edges23[[#This Row],[Vertex 2]],GroupVertices[Vertex],0)),1,1,"")</f>
        <v>#N/A</v>
      </c>
      <c r="BD3" s="50"/>
      <c r="BE3" s="51"/>
      <c r="BF3" s="50"/>
      <c r="BG3" s="51"/>
      <c r="BH3" s="50"/>
      <c r="BI3" s="51"/>
      <c r="BJ3" s="50"/>
      <c r="BK3" s="51"/>
      <c r="BL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3" t="s">
        <v>339</v>
      </c>
      <c r="B1" s="83" t="s">
        <v>34</v>
      </c>
    </row>
    <row r="2" spans="1:2" ht="15">
      <c r="A2" s="81"/>
      <c r="B2" s="83"/>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90" t="s">
        <v>341</v>
      </c>
      <c r="B25" t="s">
        <v>340</v>
      </c>
    </row>
    <row r="26" spans="1:2" ht="15">
      <c r="A26" s="91" t="s">
        <v>342</v>
      </c>
      <c r="B26" s="3"/>
    </row>
    <row r="27" spans="1:2" ht="15">
      <c r="A27" s="91" t="s">
        <v>343</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212</v>
      </c>
      <c r="AE2" s="13" t="s">
        <v>213</v>
      </c>
      <c r="AF2" s="13" t="s">
        <v>214</v>
      </c>
      <c r="AG2" s="13" t="s">
        <v>215</v>
      </c>
      <c r="AH2" s="13" t="s">
        <v>216</v>
      </c>
      <c r="AI2" s="13" t="s">
        <v>217</v>
      </c>
      <c r="AJ2" s="13" t="s">
        <v>218</v>
      </c>
      <c r="AK2" s="13" t="s">
        <v>219</v>
      </c>
      <c r="AL2" s="13" t="s">
        <v>220</v>
      </c>
      <c r="AM2" s="13" t="s">
        <v>221</v>
      </c>
      <c r="AN2" s="13" t="s">
        <v>222</v>
      </c>
      <c r="AO2" s="13" t="s">
        <v>223</v>
      </c>
      <c r="AP2" s="13" t="s">
        <v>224</v>
      </c>
      <c r="AQ2" s="13" t="s">
        <v>225</v>
      </c>
      <c r="AR2" s="13" t="s">
        <v>226</v>
      </c>
      <c r="AS2" s="13" t="s">
        <v>192</v>
      </c>
      <c r="AT2" s="13" t="s">
        <v>227</v>
      </c>
      <c r="AU2" s="13" t="s">
        <v>228</v>
      </c>
      <c r="AV2" s="13" t="s">
        <v>229</v>
      </c>
      <c r="AW2" s="13" t="s">
        <v>230</v>
      </c>
      <c r="AX2" s="13" t="s">
        <v>231</v>
      </c>
      <c r="AY2" s="13" t="s">
        <v>232</v>
      </c>
      <c r="AZ2" s="13" t="s">
        <v>272</v>
      </c>
      <c r="BA2" s="88" t="s">
        <v>302</v>
      </c>
      <c r="BB2" s="88" t="s">
        <v>303</v>
      </c>
      <c r="BC2" s="88" t="s">
        <v>304</v>
      </c>
      <c r="BD2" s="88" t="s">
        <v>305</v>
      </c>
      <c r="BE2" s="88" t="s">
        <v>306</v>
      </c>
      <c r="BF2" s="88" t="s">
        <v>307</v>
      </c>
      <c r="BG2" s="88" t="s">
        <v>308</v>
      </c>
      <c r="BH2" s="88" t="s">
        <v>309</v>
      </c>
      <c r="BI2" s="88" t="s">
        <v>310</v>
      </c>
      <c r="BJ2" s="88" t="s">
        <v>311</v>
      </c>
      <c r="BK2" s="88" t="s">
        <v>328</v>
      </c>
      <c r="BL2" s="88" t="s">
        <v>329</v>
      </c>
      <c r="BM2" s="88" t="s">
        <v>330</v>
      </c>
      <c r="BN2" s="88" t="s">
        <v>331</v>
      </c>
      <c r="BO2" s="88" t="s">
        <v>332</v>
      </c>
      <c r="BP2" s="88" t="s">
        <v>333</v>
      </c>
      <c r="BQ2" s="88" t="s">
        <v>334</v>
      </c>
      <c r="BR2" s="88" t="s">
        <v>335</v>
      </c>
      <c r="BS2" s="88" t="s">
        <v>337</v>
      </c>
      <c r="BT2" s="3"/>
      <c r="BU2" s="3"/>
    </row>
    <row r="3" spans="1:73" ht="15" customHeight="1">
      <c r="A3" s="49"/>
      <c r="B3" s="52"/>
      <c r="C3" s="52"/>
      <c r="D3" s="53"/>
      <c r="E3" s="54"/>
      <c r="F3" s="84"/>
      <c r="G3" s="52"/>
      <c r="H3" s="56"/>
      <c r="I3" s="55"/>
      <c r="J3" s="55"/>
      <c r="K3" s="85"/>
      <c r="L3" s="58"/>
      <c r="M3" s="59"/>
      <c r="N3" s="59"/>
      <c r="O3" s="57"/>
      <c r="P3" s="60"/>
      <c r="Q3" s="60"/>
      <c r="R3" s="50"/>
      <c r="S3" s="50"/>
      <c r="T3" s="50"/>
      <c r="U3" s="51"/>
      <c r="V3" s="51"/>
      <c r="W3" s="51"/>
      <c r="X3" s="51"/>
      <c r="Y3" s="51"/>
      <c r="Z3" s="51"/>
      <c r="AA3" s="61">
        <v>3</v>
      </c>
      <c r="AB3" s="61"/>
      <c r="AC3" s="62"/>
      <c r="AD3" s="83"/>
      <c r="AE3" s="83"/>
      <c r="AF3" s="83"/>
      <c r="AG3" s="83"/>
      <c r="AH3" s="83"/>
      <c r="AI3" s="83"/>
      <c r="AJ3" s="83"/>
      <c r="AK3" s="83"/>
      <c r="AL3" s="83"/>
      <c r="AM3" s="83"/>
      <c r="AN3" s="83"/>
      <c r="AO3" s="83"/>
      <c r="AP3" s="83"/>
      <c r="AQ3" s="83"/>
      <c r="AR3" s="83"/>
      <c r="AS3" s="83"/>
      <c r="AT3" s="83"/>
      <c r="AU3" s="83"/>
      <c r="AV3" s="83"/>
      <c r="AW3" s="83"/>
      <c r="AX3" s="83"/>
      <c r="AY3" s="83"/>
      <c r="AZ3" s="83" t="e">
        <f>REPLACE(INDEX(GroupVertices[Group],MATCH(Vertices[[#This Row],[Vertex]],GroupVertices[Vertex],0)),1,1,"")</f>
        <v>#N/A</v>
      </c>
      <c r="BA3" s="50"/>
      <c r="BB3" s="50"/>
      <c r="BC3" s="50"/>
      <c r="BD3" s="50"/>
      <c r="BE3" s="50"/>
      <c r="BF3" s="50"/>
      <c r="BG3" s="50"/>
      <c r="BH3" s="50"/>
      <c r="BI3" s="50"/>
      <c r="BJ3" s="50"/>
      <c r="BK3" s="50"/>
      <c r="BL3" s="51"/>
      <c r="BM3" s="50"/>
      <c r="BN3" s="51"/>
      <c r="BO3" s="50"/>
      <c r="BP3" s="51"/>
      <c r="BQ3" s="50"/>
      <c r="BR3" s="51"/>
      <c r="BS3" s="50"/>
      <c r="BT3" s="3"/>
      <c r="BU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81" t="s">
        <v>144</v>
      </c>
      <c r="B2" s="83" t="s">
        <v>21</v>
      </c>
      <c r="C2" s="8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282</v>
      </c>
      <c r="Z2" s="13" t="s">
        <v>284</v>
      </c>
      <c r="AA2" s="13" t="s">
        <v>286</v>
      </c>
      <c r="AB2" s="13" t="s">
        <v>293</v>
      </c>
      <c r="AC2" s="13" t="s">
        <v>295</v>
      </c>
      <c r="AD2" s="13" t="s">
        <v>298</v>
      </c>
      <c r="AE2" s="13" t="s">
        <v>299</v>
      </c>
      <c r="AF2" s="13" t="s">
        <v>301</v>
      </c>
      <c r="AG2" s="67" t="s">
        <v>328</v>
      </c>
      <c r="AH2" s="67" t="s">
        <v>329</v>
      </c>
      <c r="AI2" s="67" t="s">
        <v>330</v>
      </c>
      <c r="AJ2" s="67" t="s">
        <v>331</v>
      </c>
      <c r="AK2" s="67" t="s">
        <v>332</v>
      </c>
      <c r="AL2" s="67" t="s">
        <v>333</v>
      </c>
      <c r="AM2" s="67" t="s">
        <v>334</v>
      </c>
      <c r="AN2" s="67" t="s">
        <v>335</v>
      </c>
      <c r="AO2" s="67" t="s">
        <v>338</v>
      </c>
    </row>
    <row r="3" spans="1:41" ht="15">
      <c r="A3" s="82"/>
      <c r="B3" s="84"/>
      <c r="C3" s="84"/>
      <c r="D3" s="14"/>
      <c r="E3" s="14"/>
      <c r="F3" s="15"/>
      <c r="G3" s="77"/>
      <c r="H3" s="77"/>
      <c r="I3" s="63"/>
      <c r="J3" s="63"/>
      <c r="K3" s="47"/>
      <c r="L3" s="47"/>
      <c r="M3" s="47"/>
      <c r="N3" s="47"/>
      <c r="O3" s="47"/>
      <c r="P3" s="47"/>
      <c r="Q3" s="47"/>
      <c r="R3" s="47"/>
      <c r="S3" s="47"/>
      <c r="T3" s="47"/>
      <c r="U3" s="47"/>
      <c r="V3" s="47"/>
      <c r="W3" s="48"/>
      <c r="X3" s="48"/>
      <c r="Y3" s="83"/>
      <c r="Z3" s="83"/>
      <c r="AA3" s="83"/>
      <c r="AB3" s="83"/>
      <c r="AC3" s="83"/>
      <c r="AD3" s="83"/>
      <c r="AE3" s="83"/>
      <c r="AF3" s="83"/>
      <c r="AG3" s="50"/>
      <c r="AH3" s="51"/>
      <c r="AI3" s="50"/>
      <c r="AJ3" s="51"/>
      <c r="AK3" s="50"/>
      <c r="AL3" s="51"/>
      <c r="AM3" s="50"/>
      <c r="AN3" s="51"/>
      <c r="AO3" s="50"/>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81" t="s">
        <v>144</v>
      </c>
      <c r="B1" s="81" t="s">
        <v>5</v>
      </c>
      <c r="C1" s="11" t="s">
        <v>147</v>
      </c>
    </row>
    <row r="2" spans="1:3" ht="15">
      <c r="A2" s="83"/>
      <c r="B2" s="83"/>
      <c r="C2" s="83" t="e">
        <f>VLOOKUP(GroupVertices[[#This Row],[Vertex]],Vertices[],MATCH("ID",Vertices[[#Headers],[Vertex]:[Vertex Content Word Count]],0),FALSE)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275</v>
      </c>
      <c r="B2" s="35" t="s">
        <v>233</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57">COUNTIF(INDIRECT(DynamicFilterSourceColumnRange),"&gt;= "&amp;T2)-COUNTIF(INDIRECT(DynamicFilterSourceColumnRange),"&gt;="&amp;T3)</f>
        <v>#REF!</v>
      </c>
      <c r="W2" t="s">
        <v>124</v>
      </c>
      <c r="X2">
        <f>ROWS(HistogramBins[Degree Bin])-1</f>
        <v>55</v>
      </c>
    </row>
    <row r="3" spans="1:24" ht="15">
      <c r="A3" s="86"/>
      <c r="B3" s="86"/>
      <c r="D3" s="33">
        <f aca="true" t="shared" si="1" ref="D3:D26">D2+($D$57-$D$2)/BinDivisor</f>
        <v>0</v>
      </c>
      <c r="E3" s="3">
        <f>COUNTIF(Vertices[Degree],"&gt;= "&amp;D3)-COUNTIF(Vertices[Degree],"&gt;="&amp;D4)</f>
        <v>0</v>
      </c>
      <c r="F3" s="40">
        <f aca="true" t="shared" si="2" ref="F3:F26">F2+($F$57-$F$2)/BinDivisor</f>
        <v>0</v>
      </c>
      <c r="G3" s="41">
        <f>COUNTIF(Vertices[In-Degree],"&gt;= "&amp;F3)-COUNTIF(Vertices[In-Degree],"&gt;="&amp;F4)</f>
        <v>0</v>
      </c>
      <c r="H3" s="40">
        <f aca="true" t="shared" si="3" ref="H3:H26">H2+($H$57-$H$2)/BinDivisor</f>
        <v>0</v>
      </c>
      <c r="I3" s="41">
        <f>COUNTIF(Vertices[Out-Degree],"&gt;= "&amp;H3)-COUNTIF(Vertices[Out-Degree],"&gt;="&amp;H4)</f>
        <v>0</v>
      </c>
      <c r="J3" s="40">
        <f aca="true" t="shared" si="4" ref="J3:J26">J2+($J$57-$J$2)/BinDivisor</f>
        <v>0</v>
      </c>
      <c r="K3" s="41">
        <f>COUNTIF(Vertices[Betweenness Centrality],"&gt;= "&amp;J3)-COUNTIF(Vertices[Betweenness Centrality],"&gt;="&amp;J4)</f>
        <v>0</v>
      </c>
      <c r="L3" s="40">
        <f aca="true" t="shared" si="5" ref="L3:L26">L2+($L$57-$L$2)/BinDivisor</f>
        <v>0</v>
      </c>
      <c r="M3" s="41">
        <f>COUNTIF(Vertices[Closeness Centrality],"&gt;= "&amp;L3)-COUNTIF(Vertices[Closeness Centrality],"&gt;="&amp;L4)</f>
        <v>0</v>
      </c>
      <c r="N3" s="40">
        <f aca="true" t="shared" si="6" ref="N3:N26">N2+($N$57-$N$2)/BinDivisor</f>
        <v>0</v>
      </c>
      <c r="O3" s="41">
        <f>COUNTIF(Vertices[Eigenvector Centrality],"&gt;= "&amp;N3)-COUNTIF(Vertices[Eigenvector Centrality],"&gt;="&amp;N4)</f>
        <v>0</v>
      </c>
      <c r="P3" s="40">
        <f aca="true" t="shared" si="7" ref="P3:P26">P2+($P$57-$P$2)/BinDivisor</f>
        <v>0</v>
      </c>
      <c r="Q3" s="41">
        <f>COUNTIF(Vertices[PageRank],"&gt;= "&amp;P3)-COUNTIF(Vertices[PageRank],"&gt;="&amp;P4)</f>
        <v>0</v>
      </c>
      <c r="R3" s="40">
        <f aca="true" t="shared" si="8" ref="R3:R26">R2+($R$57-$R$2)/BinDivisor</f>
        <v>0</v>
      </c>
      <c r="S3" s="45">
        <f>COUNTIF(Vertices[Clustering Coefficient],"&gt;= "&amp;R3)-COUNTIF(Vertices[Clustering Coefficient],"&gt;="&amp;R4)</f>
        <v>0</v>
      </c>
      <c r="T3" s="40" t="e">
        <f aca="true" t="shared" si="9" ref="T3:T26">T2+($T$57-$T$2)/BinDivisor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6"/>
      <c r="B5" s="86"/>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6"/>
      <c r="B9" s="86"/>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6"/>
      <c r="B11" s="86"/>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278</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278</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6"/>
      <c r="B14" s="86"/>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6"/>
      <c r="B19" s="86"/>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278</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278</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6"/>
      <c r="B22" s="86"/>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278</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276</v>
      </c>
      <c r="B24" s="35" t="s">
        <v>278</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6"/>
      <c r="B25" s="86"/>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277</v>
      </c>
      <c r="B26" s="35" t="s">
        <v>279</v>
      </c>
      <c r="D26" s="33">
        <f t="shared" si="1"/>
        <v>0</v>
      </c>
      <c r="E26" s="3">
        <f>COUNTIF(Vertices[Degree],"&gt;= "&amp;D26)-COUNTIF(Vertices[Degree],"&gt;="&amp;D28)</f>
        <v>0</v>
      </c>
      <c r="F26" s="38">
        <f t="shared" si="2"/>
        <v>0</v>
      </c>
      <c r="G26" s="39">
        <f>COUNTIF(Vertices[In-Degree],"&gt;= "&amp;F26)-COUNTIF(Vertices[In-Degree],"&gt;="&amp;F28)</f>
        <v>0</v>
      </c>
      <c r="H26" s="38">
        <f t="shared" si="3"/>
        <v>0</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0</v>
      </c>
      <c r="O26" s="39">
        <f>COUNTIF(Vertices[Eigenvector Centrality],"&gt;= "&amp;N26)-COUNTIF(Vertices[Eigenvector Centrality],"&gt;="&amp;N28)</f>
        <v>0</v>
      </c>
      <c r="P26" s="38">
        <f t="shared" si="7"/>
        <v>0</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4:21" ht="15">
      <c r="D27" s="33"/>
      <c r="E27" s="3">
        <f>COUNTIF(Vertices[Degree],"&gt;= "&amp;D27)-COUNTIF(Vertices[Degree],"&gt;="&amp;D28)</f>
        <v>0</v>
      </c>
      <c r="F27" s="78"/>
      <c r="G27" s="79">
        <f>COUNTIF(Vertices[In-Degree],"&gt;= "&amp;F27)-COUNTIF(Vertices[In-Degree],"&gt;="&amp;F28)</f>
        <v>0</v>
      </c>
      <c r="H27" s="78"/>
      <c r="I27" s="79">
        <f>COUNTIF(Vertices[Out-Degree],"&gt;= "&amp;H27)-COUNTIF(Vertices[Out-Degree],"&gt;="&amp;H28)</f>
        <v>0</v>
      </c>
      <c r="J27" s="78"/>
      <c r="K27" s="79">
        <f>COUNTIF(Vertices[Betweenness Centrality],"&gt;= "&amp;J27)-COUNTIF(Vertices[Betweenness Centrality],"&gt;="&amp;J28)</f>
        <v>0</v>
      </c>
      <c r="L27" s="78"/>
      <c r="M27" s="79">
        <f>COUNTIF(Vertices[Closeness Centrality],"&gt;= "&amp;L27)-COUNTIF(Vertices[Closeness Centrality],"&gt;="&amp;L28)</f>
        <v>0</v>
      </c>
      <c r="N27" s="78"/>
      <c r="O27" s="79">
        <f>COUNTIF(Vertices[Eigenvector Centrality],"&gt;= "&amp;N27)-COUNTIF(Vertices[Eigenvector Centrality],"&gt;="&amp;N28)</f>
        <v>0</v>
      </c>
      <c r="P27" s="78"/>
      <c r="Q27" s="79">
        <f>COUNTIF(Vertices[Eigenvector Centrality],"&gt;= "&amp;P27)-COUNTIF(Vertices[Eigenvector Centrality],"&gt;="&amp;P28)</f>
        <v>0</v>
      </c>
      <c r="R27" s="78"/>
      <c r="S27" s="80">
        <f>COUNTIF(Vertices[Clustering Coefficient],"&gt;= "&amp;R27)-COUNTIF(Vertices[Clustering Coefficient],"&gt;="&amp;R28)</f>
        <v>0</v>
      </c>
      <c r="T27" s="78"/>
      <c r="U27" s="79">
        <f ca="1">COUNTIF(Vertices[Clustering Coefficient],"&gt;= "&amp;T27)-COUNTIF(Vertices[Clustering Coefficient],"&gt;="&amp;T28)</f>
        <v>0</v>
      </c>
    </row>
    <row r="28" spans="4:21" ht="15">
      <c r="D28" s="33">
        <f>D26+($D$57-$D$2)/BinDivisor</f>
        <v>0</v>
      </c>
      <c r="E28" s="3">
        <f>COUNTIF(Vertices[Degree],"&gt;= "&amp;D28)-COUNTIF(Vertices[Degree],"&gt;="&amp;D40)</f>
        <v>0</v>
      </c>
      <c r="F28" s="40">
        <f>F26+($F$57-$F$2)/BinDivisor</f>
        <v>0</v>
      </c>
      <c r="G28" s="41">
        <f>COUNTIF(Vertices[In-Degree],"&gt;= "&amp;F28)-COUNTIF(Vertices[In-Degree],"&gt;="&amp;F40)</f>
        <v>0</v>
      </c>
      <c r="H28" s="40">
        <f>H26+($H$57-$H$2)/BinDivisor</f>
        <v>0</v>
      </c>
      <c r="I28" s="41">
        <f>COUNTIF(Vertices[Out-Degree],"&gt;= "&amp;H28)-COUNTIF(Vertices[Out-Degree],"&gt;="&amp;H40)</f>
        <v>0</v>
      </c>
      <c r="J28" s="40">
        <f>J26+($J$57-$J$2)/BinDivisor</f>
        <v>0</v>
      </c>
      <c r="K28" s="41">
        <f>COUNTIF(Vertices[Betweenness Centrality],"&gt;= "&amp;J28)-COUNTIF(Vertices[Betweenness Centrality],"&gt;="&amp;J40)</f>
        <v>0</v>
      </c>
      <c r="L28" s="40">
        <f>L26+($L$57-$L$2)/BinDivisor</f>
        <v>0</v>
      </c>
      <c r="M28" s="41">
        <f>COUNTIF(Vertices[Closeness Centrality],"&gt;= "&amp;L28)-COUNTIF(Vertices[Closeness Centrality],"&gt;="&amp;L40)</f>
        <v>0</v>
      </c>
      <c r="N28" s="40">
        <f>N26+($N$57-$N$2)/BinDivisor</f>
        <v>0</v>
      </c>
      <c r="O28" s="41">
        <f>COUNTIF(Vertices[Eigenvector Centrality],"&gt;= "&amp;N28)-COUNTIF(Vertices[Eigenvector Centrality],"&gt;="&amp;N40)</f>
        <v>0</v>
      </c>
      <c r="P28" s="40">
        <f>P26+($P$57-$P$2)/BinDivisor</f>
        <v>0</v>
      </c>
      <c r="Q28" s="41">
        <f>COUNTIF(Vertices[PageRank],"&gt;= "&amp;P28)-COUNTIF(Vertices[PageRank],"&gt;="&amp;P40)</f>
        <v>0</v>
      </c>
      <c r="R28" s="40">
        <f>R26+($R$57-$R$2)/BinDivisor</f>
        <v>0</v>
      </c>
      <c r="S28" s="45">
        <f>COUNTIF(Vertices[Clustering Coefficient],"&gt;= "&amp;R28)-COUNTIF(Vertices[Clustering Coefficient],"&gt;="&amp;R40)</f>
        <v>0</v>
      </c>
      <c r="T28" s="40" t="e">
        <f ca="1">T26+($T$57-$T$2)/BinDivisor</f>
        <v>#REF!</v>
      </c>
      <c r="U28" s="41" t="e">
        <f ca="1">COUNTIF(INDIRECT(DynamicFilterSourceColumnRange),"&gt;= "&amp;T28)-COUNTIF(INDIRECT(DynamicFilterSourceColumnRange),"&gt;="&amp;T40)</f>
        <v>#REF!</v>
      </c>
    </row>
    <row r="29" spans="4:21" ht="15">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4:21" ht="15">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4:21" ht="15">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3"/>
      <c r="E38" s="3">
        <f>COUNTIF(Vertices[Degree],"&gt;= "&amp;D38)-COUNTIF(Vertices[Degree],"&gt;="&amp;D40)</f>
        <v>0</v>
      </c>
      <c r="F38" s="78"/>
      <c r="G38" s="79">
        <f>COUNTIF(Vertices[In-Degree],"&gt;= "&amp;F38)-COUNTIF(Vertices[In-Degree],"&gt;="&amp;F40)</f>
        <v>0</v>
      </c>
      <c r="H38" s="78"/>
      <c r="I38" s="79">
        <f>COUNTIF(Vertices[Out-Degree],"&gt;= "&amp;H38)-COUNTIF(Vertices[Out-Degree],"&gt;="&amp;H40)</f>
        <v>0</v>
      </c>
      <c r="J38" s="78"/>
      <c r="K38" s="79">
        <f>COUNTIF(Vertices[Betweenness Centrality],"&gt;= "&amp;J38)-COUNTIF(Vertices[Betweenness Centrality],"&gt;="&amp;J40)</f>
        <v>0</v>
      </c>
      <c r="L38" s="78"/>
      <c r="M38" s="79">
        <f>COUNTIF(Vertices[Closeness Centrality],"&gt;= "&amp;L38)-COUNTIF(Vertices[Closeness Centrality],"&gt;="&amp;L40)</f>
        <v>0</v>
      </c>
      <c r="N38" s="78"/>
      <c r="O38" s="79">
        <f>COUNTIF(Vertices[Eigenvector Centrality],"&gt;= "&amp;N38)-COUNTIF(Vertices[Eigenvector Centrality],"&gt;="&amp;N40)</f>
        <v>0</v>
      </c>
      <c r="P38" s="78"/>
      <c r="Q38" s="79">
        <f>COUNTIF(Vertices[Eigenvector Centrality],"&gt;= "&amp;P38)-COUNTIF(Vertices[Eigenvector Centrality],"&gt;="&amp;P40)</f>
        <v>0</v>
      </c>
      <c r="R38" s="78"/>
      <c r="S38" s="80">
        <f>COUNTIF(Vertices[Clustering Coefficient],"&gt;= "&amp;R38)-COUNTIF(Vertices[Clustering Coefficient],"&gt;="&amp;R40)</f>
        <v>0</v>
      </c>
      <c r="T38" s="78"/>
      <c r="U38" s="79">
        <f ca="1">COUNTIF(Vertices[Clustering Coefficient],"&gt;= "&amp;T38)-COUNTIF(Vertices[Clustering Coefficient],"&gt;="&amp;T40)</f>
        <v>0</v>
      </c>
    </row>
    <row r="39" spans="4:21" ht="15">
      <c r="D39" s="33"/>
      <c r="E39" s="3">
        <f>COUNTIF(Vertices[Degree],"&gt;= "&amp;D39)-COUNTIF(Vertices[Degree],"&gt;="&amp;D40)</f>
        <v>0</v>
      </c>
      <c r="F39" s="78"/>
      <c r="G39" s="79">
        <f>COUNTIF(Vertices[In-Degree],"&gt;= "&amp;F39)-COUNTIF(Vertices[In-Degree],"&gt;="&amp;F40)</f>
        <v>0</v>
      </c>
      <c r="H39" s="78"/>
      <c r="I39" s="79">
        <f>COUNTIF(Vertices[Out-Degree],"&gt;= "&amp;H39)-COUNTIF(Vertices[Out-Degree],"&gt;="&amp;H40)</f>
        <v>0</v>
      </c>
      <c r="J39" s="78"/>
      <c r="K39" s="79">
        <f>COUNTIF(Vertices[Betweenness Centrality],"&gt;= "&amp;J39)-COUNTIF(Vertices[Betweenness Centrality],"&gt;="&amp;J40)</f>
        <v>0</v>
      </c>
      <c r="L39" s="78"/>
      <c r="M39" s="79">
        <f>COUNTIF(Vertices[Closeness Centrality],"&gt;= "&amp;L39)-COUNTIF(Vertices[Closeness Centrality],"&gt;="&amp;L40)</f>
        <v>0</v>
      </c>
      <c r="N39" s="78"/>
      <c r="O39" s="79">
        <f>COUNTIF(Vertices[Eigenvector Centrality],"&gt;= "&amp;N39)-COUNTIF(Vertices[Eigenvector Centrality],"&gt;="&amp;N40)</f>
        <v>0</v>
      </c>
      <c r="P39" s="78"/>
      <c r="Q39" s="79">
        <f>COUNTIF(Vertices[Eigenvector Centrality],"&gt;= "&amp;P39)-COUNTIF(Vertices[Eigenvector Centrality],"&gt;="&amp;P40)</f>
        <v>0</v>
      </c>
      <c r="R39" s="78"/>
      <c r="S39" s="80">
        <f>COUNTIF(Vertices[Clustering Coefficient],"&gt;= "&amp;R39)-COUNTIF(Vertices[Clustering Coefficient],"&gt;="&amp;R40)</f>
        <v>0</v>
      </c>
      <c r="T39" s="78"/>
      <c r="U39" s="79">
        <f ca="1">COUNTIF(Vertices[Clustering Coefficient],"&gt;= "&amp;T39)-COUNTIF(Vertices[Clustering Coefficient],"&gt;="&amp;T40)</f>
        <v>0</v>
      </c>
    </row>
    <row r="40" spans="4:21" ht="15">
      <c r="D40" s="33">
        <f>D28+($D$57-$D$2)/BinDivisor</f>
        <v>0</v>
      </c>
      <c r="E40" s="3">
        <f>COUNTIF(Vertices[Degree],"&gt;= "&amp;D40)-COUNTIF(Vertices[Degree],"&gt;="&amp;D41)</f>
        <v>0</v>
      </c>
      <c r="F40" s="38">
        <f>F28+($F$57-$F$2)/BinDivisor</f>
        <v>0</v>
      </c>
      <c r="G40" s="39">
        <f>COUNTIF(Vertices[In-Degree],"&gt;= "&amp;F40)-COUNTIF(Vertices[In-Degree],"&gt;="&amp;F41)</f>
        <v>0</v>
      </c>
      <c r="H40" s="38">
        <f>H28+($H$57-$H$2)/BinDivisor</f>
        <v>0</v>
      </c>
      <c r="I40" s="39">
        <f>COUNTIF(Vertices[Out-Degree],"&gt;= "&amp;H40)-COUNTIF(Vertices[Out-Degree],"&gt;="&amp;H41)</f>
        <v>0</v>
      </c>
      <c r="J40" s="38">
        <f>J28+($J$57-$J$2)/BinDivisor</f>
        <v>0</v>
      </c>
      <c r="K40" s="39">
        <f>COUNTIF(Vertices[Betweenness Centrality],"&gt;= "&amp;J40)-COUNTIF(Vertices[Betweenness Centrality],"&gt;="&amp;J41)</f>
        <v>0</v>
      </c>
      <c r="L40" s="38">
        <f>L28+($L$57-$L$2)/BinDivisor</f>
        <v>0</v>
      </c>
      <c r="M40" s="39">
        <f>COUNTIF(Vertices[Closeness Centrality],"&gt;= "&amp;L40)-COUNTIF(Vertices[Closeness Centrality],"&gt;="&amp;L41)</f>
        <v>0</v>
      </c>
      <c r="N40" s="38">
        <f>N28+($N$57-$N$2)/BinDivisor</f>
        <v>0</v>
      </c>
      <c r="O40" s="39">
        <f>COUNTIF(Vertices[Eigenvector Centrality],"&gt;= "&amp;N40)-COUNTIF(Vertices[Eigenvector Centrality],"&gt;="&amp;N41)</f>
        <v>0</v>
      </c>
      <c r="P40" s="38">
        <f>P28+($P$57-$P$2)/BinDivisor</f>
        <v>0</v>
      </c>
      <c r="Q40" s="39">
        <f>COUNTIF(Vertices[PageRank],"&gt;= "&amp;P40)-COUNTIF(Vertices[PageRank],"&gt;="&amp;P41)</f>
        <v>0</v>
      </c>
      <c r="R40" s="38">
        <f>R28+($R$57-$R$2)/BinDivisor</f>
        <v>0</v>
      </c>
      <c r="S40" s="44">
        <f>COUNTIF(Vertices[Clustering Coefficient],"&gt;= "&amp;R40)-COUNTIF(Vertices[Clustering Coefficient],"&gt;="&amp;R41)</f>
        <v>0</v>
      </c>
      <c r="T40" s="38" t="e">
        <f ca="1">T28+($T$57-$T$2)/BinDivisor</f>
        <v>#REF!</v>
      </c>
      <c r="U40" s="39" t="e">
        <f ca="1" t="shared" si="0"/>
        <v>#REF!</v>
      </c>
    </row>
    <row r="41" spans="1:21" ht="15">
      <c r="A41" t="s">
        <v>163</v>
      </c>
      <c r="B41" t="s">
        <v>17</v>
      </c>
      <c r="D41" s="33">
        <f aca="true" t="shared" si="10" ref="D41:D56">D40+($D$57-$D$2)/BinDivisor</f>
        <v>0</v>
      </c>
      <c r="E41" s="3">
        <f>COUNTIF(Vertices[Degree],"&gt;= "&amp;D41)-COUNTIF(Vertices[Degree],"&gt;="&amp;D42)</f>
        <v>0</v>
      </c>
      <c r="F41" s="40">
        <f aca="true" t="shared" si="11" ref="F41:F56">F40+($F$57-$F$2)/BinDivisor</f>
        <v>0</v>
      </c>
      <c r="G41" s="41">
        <f>COUNTIF(Vertices[In-Degree],"&gt;= "&amp;F41)-COUNTIF(Vertices[In-Degree],"&gt;="&amp;F42)</f>
        <v>0</v>
      </c>
      <c r="H41" s="40">
        <f aca="true" t="shared" si="12" ref="H41:H56">H40+($H$57-$H$2)/BinDivisor</f>
        <v>0</v>
      </c>
      <c r="I41" s="41">
        <f>COUNTIF(Vertices[Out-Degree],"&gt;= "&amp;H41)-COUNTIF(Vertices[Out-Degree],"&gt;="&amp;H42)</f>
        <v>0</v>
      </c>
      <c r="J41" s="40">
        <f aca="true" t="shared" si="13" ref="J41:J56">J40+($J$57-$J$2)/BinDivisor</f>
        <v>0</v>
      </c>
      <c r="K41" s="41">
        <f>COUNTIF(Vertices[Betweenness Centrality],"&gt;= "&amp;J41)-COUNTIF(Vertices[Betweenness Centrality],"&gt;="&amp;J42)</f>
        <v>0</v>
      </c>
      <c r="L41" s="40">
        <f aca="true" t="shared" si="14" ref="L41:L56">L40+($L$57-$L$2)/BinDivisor</f>
        <v>0</v>
      </c>
      <c r="M41" s="41">
        <f>COUNTIF(Vertices[Closeness Centrality],"&gt;= "&amp;L41)-COUNTIF(Vertices[Closeness Centrality],"&gt;="&amp;L42)</f>
        <v>0</v>
      </c>
      <c r="N41" s="40">
        <f aca="true" t="shared" si="15" ref="N41:N56">N40+($N$57-$N$2)/BinDivisor</f>
        <v>0</v>
      </c>
      <c r="O41" s="41">
        <f>COUNTIF(Vertices[Eigenvector Centrality],"&gt;= "&amp;N41)-COUNTIF(Vertices[Eigenvector Centrality],"&gt;="&amp;N42)</f>
        <v>0</v>
      </c>
      <c r="P41" s="40">
        <f aca="true" t="shared" si="16" ref="P41:P56">P40+($P$57-$P$2)/BinDivisor</f>
        <v>0</v>
      </c>
      <c r="Q41" s="41">
        <f>COUNTIF(Vertices[PageRank],"&gt;= "&amp;P41)-COUNTIF(Vertices[PageRank],"&gt;="&amp;P42)</f>
        <v>0</v>
      </c>
      <c r="R41" s="40">
        <f aca="true" t="shared" si="17" ref="R41:R56">R40+($R$57-$R$2)/BinDivisor</f>
        <v>0</v>
      </c>
      <c r="S41" s="45">
        <f>COUNTIF(Vertices[Clustering Coefficient],"&gt;= "&amp;R41)-COUNTIF(Vertices[Clustering Coefficient],"&gt;="&amp;R42)</f>
        <v>0</v>
      </c>
      <c r="T41" s="40" t="e">
        <f aca="true" t="shared" si="18" ref="T41:T56">T40+($T$57-$T$2)/BinDivisor</f>
        <v>#REF!</v>
      </c>
      <c r="U41" s="41" t="e">
        <f ca="1" t="shared" si="0"/>
        <v>#REF!</v>
      </c>
    </row>
    <row r="42" spans="1:21" ht="15">
      <c r="A42" s="34"/>
      <c r="B42" s="34"/>
      <c r="D42" s="33">
        <f t="shared" si="10"/>
        <v>0</v>
      </c>
      <c r="E42" s="3">
        <f>COUNTIF(Vertices[Degree],"&gt;= "&amp;D42)-COUNTIF(Vertices[Degree],"&gt;="&amp;D43)</f>
        <v>0</v>
      </c>
      <c r="F42" s="38">
        <f t="shared" si="11"/>
        <v>0</v>
      </c>
      <c r="G42" s="39">
        <f>COUNTIF(Vertices[In-Degree],"&gt;= "&amp;F42)-COUNTIF(Vertices[In-Degree],"&gt;="&amp;F43)</f>
        <v>0</v>
      </c>
      <c r="H42" s="38">
        <f t="shared" si="12"/>
        <v>0</v>
      </c>
      <c r="I42" s="39">
        <f>COUNTIF(Vertices[Out-Degree],"&gt;= "&amp;H42)-COUNTIF(Vertices[Out-Degree],"&gt;="&amp;H43)</f>
        <v>0</v>
      </c>
      <c r="J42" s="38">
        <f t="shared" si="13"/>
        <v>0</v>
      </c>
      <c r="K42" s="39">
        <f>COUNTIF(Vertices[Betweenness Centrality],"&gt;= "&amp;J42)-COUNTIF(Vertices[Betweenness Centrality],"&gt;="&amp;J43)</f>
        <v>0</v>
      </c>
      <c r="L42" s="38">
        <f t="shared" si="14"/>
        <v>0</v>
      </c>
      <c r="M42" s="39">
        <f>COUNTIF(Vertices[Closeness Centrality],"&gt;= "&amp;L42)-COUNTIF(Vertices[Closeness Centrality],"&gt;="&amp;L43)</f>
        <v>0</v>
      </c>
      <c r="N42" s="38">
        <f t="shared" si="15"/>
        <v>0</v>
      </c>
      <c r="O42" s="39">
        <f>COUNTIF(Vertices[Eigenvector Centrality],"&gt;= "&amp;N42)-COUNTIF(Vertices[Eigenvector Centrality],"&gt;="&amp;N43)</f>
        <v>0</v>
      </c>
      <c r="P42" s="38">
        <f t="shared" si="16"/>
        <v>0</v>
      </c>
      <c r="Q42" s="39">
        <f>COUNTIF(Vertices[PageRank],"&gt;= "&amp;P42)-COUNTIF(Vertices[PageRank],"&gt;="&amp;P43)</f>
        <v>0</v>
      </c>
      <c r="R42" s="38">
        <f t="shared" si="17"/>
        <v>0</v>
      </c>
      <c r="S42" s="44">
        <f>COUNTIF(Vertices[Clustering Coefficient],"&gt;= "&amp;R42)-COUNTIF(Vertices[Clustering Coefficient],"&gt;="&amp;R43)</f>
        <v>0</v>
      </c>
      <c r="T42" s="38" t="e">
        <f ca="1" t="shared" si="18"/>
        <v>#REF!</v>
      </c>
      <c r="U42" s="39" t="e">
        <f ca="1" t="shared" si="0"/>
        <v>#REF!</v>
      </c>
    </row>
    <row r="43" spans="1:21" ht="15">
      <c r="A43" s="34"/>
      <c r="B43" s="34"/>
      <c r="D43" s="33">
        <f t="shared" si="10"/>
        <v>0</v>
      </c>
      <c r="E43" s="3">
        <f>COUNTIF(Vertices[Degree],"&gt;= "&amp;D43)-COUNTIF(Vertices[Degree],"&gt;="&amp;D44)</f>
        <v>0</v>
      </c>
      <c r="F43" s="40">
        <f t="shared" si="11"/>
        <v>0</v>
      </c>
      <c r="G43" s="41">
        <f>COUNTIF(Vertices[In-Degree],"&gt;= "&amp;F43)-COUNTIF(Vertices[In-Degree],"&gt;="&amp;F44)</f>
        <v>0</v>
      </c>
      <c r="H43" s="40">
        <f t="shared" si="12"/>
        <v>0</v>
      </c>
      <c r="I43" s="41">
        <f>COUNTIF(Vertices[Out-Degree],"&gt;= "&amp;H43)-COUNTIF(Vertices[Out-Degree],"&gt;="&amp;H44)</f>
        <v>0</v>
      </c>
      <c r="J43" s="40">
        <f t="shared" si="13"/>
        <v>0</v>
      </c>
      <c r="K43" s="41">
        <f>COUNTIF(Vertices[Betweenness Centrality],"&gt;= "&amp;J43)-COUNTIF(Vertices[Betweenness Centrality],"&gt;="&amp;J44)</f>
        <v>0</v>
      </c>
      <c r="L43" s="40">
        <f t="shared" si="14"/>
        <v>0</v>
      </c>
      <c r="M43" s="41">
        <f>COUNTIF(Vertices[Closeness Centrality],"&gt;= "&amp;L43)-COUNTIF(Vertices[Closeness Centrality],"&gt;="&amp;L44)</f>
        <v>0</v>
      </c>
      <c r="N43" s="40">
        <f t="shared" si="15"/>
        <v>0</v>
      </c>
      <c r="O43" s="41">
        <f>COUNTIF(Vertices[Eigenvector Centrality],"&gt;= "&amp;N43)-COUNTIF(Vertices[Eigenvector Centrality],"&gt;="&amp;N44)</f>
        <v>0</v>
      </c>
      <c r="P43" s="40">
        <f t="shared" si="16"/>
        <v>0</v>
      </c>
      <c r="Q43" s="41">
        <f>COUNTIF(Vertices[PageRank],"&gt;= "&amp;P43)-COUNTIF(Vertices[PageRank],"&gt;="&amp;P44)</f>
        <v>0</v>
      </c>
      <c r="R43" s="40">
        <f t="shared" si="17"/>
        <v>0</v>
      </c>
      <c r="S43" s="45">
        <f>COUNTIF(Vertices[Clustering Coefficient],"&gt;= "&amp;R43)-COUNTIF(Vertices[Clustering Coefficient],"&gt;="&amp;R44)</f>
        <v>0</v>
      </c>
      <c r="T43" s="40" t="e">
        <f ca="1" t="shared" si="18"/>
        <v>#REF!</v>
      </c>
      <c r="U43" s="41" t="e">
        <f ca="1" t="shared" si="0"/>
        <v>#REF!</v>
      </c>
    </row>
    <row r="44" spans="1:21" ht="15">
      <c r="A44" s="34"/>
      <c r="B44" s="34"/>
      <c r="D44" s="33">
        <f t="shared" si="10"/>
        <v>0</v>
      </c>
      <c r="E44" s="3">
        <f>COUNTIF(Vertices[Degree],"&gt;= "&amp;D44)-COUNTIF(Vertices[Degree],"&gt;="&amp;D45)</f>
        <v>0</v>
      </c>
      <c r="F44" s="38">
        <f t="shared" si="11"/>
        <v>0</v>
      </c>
      <c r="G44" s="39">
        <f>COUNTIF(Vertices[In-Degree],"&gt;= "&amp;F44)-COUNTIF(Vertices[In-Degree],"&gt;="&amp;F45)</f>
        <v>0</v>
      </c>
      <c r="H44" s="38">
        <f t="shared" si="12"/>
        <v>0</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0</v>
      </c>
      <c r="O44" s="39">
        <f>COUNTIF(Vertices[Eigenvector Centrality],"&gt;= "&amp;N44)-COUNTIF(Vertices[Eigenvector Centrality],"&gt;="&amp;N45)</f>
        <v>0</v>
      </c>
      <c r="P44" s="38">
        <f t="shared" si="16"/>
        <v>0</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4:21" ht="15">
      <c r="D45" s="33">
        <f t="shared" si="10"/>
        <v>0</v>
      </c>
      <c r="E45" s="3">
        <f>COUNTIF(Vertices[Degree],"&gt;= "&amp;D45)-COUNTIF(Vertices[Degree],"&gt;="&amp;D46)</f>
        <v>0</v>
      </c>
      <c r="F45" s="40">
        <f t="shared" si="11"/>
        <v>0</v>
      </c>
      <c r="G45" s="41">
        <f>COUNTIF(Vertices[In-Degree],"&gt;= "&amp;F45)-COUNTIF(Vertices[In-Degree],"&gt;="&amp;F46)</f>
        <v>0</v>
      </c>
      <c r="H45" s="40">
        <f t="shared" si="12"/>
        <v>0</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0</v>
      </c>
      <c r="O45" s="41">
        <f>COUNTIF(Vertices[Eigenvector Centrality],"&gt;= "&amp;N45)-COUNTIF(Vertices[Eigenvector Centrality],"&gt;="&amp;N46)</f>
        <v>0</v>
      </c>
      <c r="P45" s="40">
        <f t="shared" si="16"/>
        <v>0</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4:21" ht="15">
      <c r="D46" s="33">
        <f t="shared" si="10"/>
        <v>0</v>
      </c>
      <c r="E46" s="3">
        <f>COUNTIF(Vertices[Degree],"&gt;= "&amp;D46)-COUNTIF(Vertices[Degree],"&gt;="&amp;D47)</f>
        <v>0</v>
      </c>
      <c r="F46" s="38">
        <f t="shared" si="11"/>
        <v>0</v>
      </c>
      <c r="G46" s="39">
        <f>COUNTIF(Vertices[In-Degree],"&gt;= "&amp;F46)-COUNTIF(Vertices[In-Degree],"&gt;="&amp;F47)</f>
        <v>0</v>
      </c>
      <c r="H46" s="38">
        <f t="shared" si="12"/>
        <v>0</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0</v>
      </c>
      <c r="O46" s="39">
        <f>COUNTIF(Vertices[Eigenvector Centrality],"&gt;= "&amp;N46)-COUNTIF(Vertices[Eigenvector Centrality],"&gt;="&amp;N47)</f>
        <v>0</v>
      </c>
      <c r="P46" s="38">
        <f t="shared" si="16"/>
        <v>0</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0</v>
      </c>
      <c r="G47" s="41">
        <f>COUNTIF(Vertices[In-Degree],"&gt;= "&amp;F47)-COUNTIF(Vertices[In-Degree],"&gt;="&amp;F48)</f>
        <v>0</v>
      </c>
      <c r="H47" s="40">
        <f t="shared" si="12"/>
        <v>0</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0</v>
      </c>
      <c r="O47" s="41">
        <f>COUNTIF(Vertices[Eigenvector Centrality],"&gt;= "&amp;N47)-COUNTIF(Vertices[Eigenvector Centrality],"&gt;="&amp;N48)</f>
        <v>0</v>
      </c>
      <c r="P47" s="40">
        <f t="shared" si="16"/>
        <v>0</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0</v>
      </c>
      <c r="G48" s="39">
        <f>COUNTIF(Vertices[In-Degree],"&gt;= "&amp;F48)-COUNTIF(Vertices[In-Degree],"&gt;="&amp;F49)</f>
        <v>0</v>
      </c>
      <c r="H48" s="38">
        <f t="shared" si="12"/>
        <v>0</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0</v>
      </c>
      <c r="O48" s="39">
        <f>COUNTIF(Vertices[Eigenvector Centrality],"&gt;= "&amp;N48)-COUNTIF(Vertices[Eigenvector Centrality],"&gt;="&amp;N49)</f>
        <v>0</v>
      </c>
      <c r="P48" s="38">
        <f t="shared" si="16"/>
        <v>0</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"&amp;D49)-COUNTIF(Vertices[Degree],"&gt;="&amp;D50)</f>
        <v>0</v>
      </c>
      <c r="F49" s="40">
        <f t="shared" si="11"/>
        <v>0</v>
      </c>
      <c r="G49" s="41">
        <f>COUNTIF(Vertices[In-Degree],"&gt;= "&amp;F49)-COUNTIF(Vertices[In-Degree],"&gt;="&amp;F50)</f>
        <v>0</v>
      </c>
      <c r="H49" s="40">
        <f t="shared" si="12"/>
        <v>0</v>
      </c>
      <c r="I49" s="41">
        <f>COUNTIF(Vertices[Out-Degree],"&gt;= "&amp;H49)-COUNTIF(Vertices[Out-Degree],"&gt;="&amp;H50)</f>
        <v>0</v>
      </c>
      <c r="J49" s="40">
        <f t="shared" si="13"/>
        <v>0</v>
      </c>
      <c r="K49" s="41">
        <f>COUNTIF(Vertices[Betweenness Centrality],"&gt;= "&amp;J49)-COUNTIF(Vertices[Betweenness Centrality],"&gt;="&amp;J50)</f>
        <v>0</v>
      </c>
      <c r="L49" s="40">
        <f t="shared" si="14"/>
        <v>0</v>
      </c>
      <c r="M49" s="41">
        <f>COUNTIF(Vertices[Closeness Centrality],"&gt;= "&amp;L49)-COUNTIF(Vertices[Closeness Centrality],"&gt;="&amp;L50)</f>
        <v>0</v>
      </c>
      <c r="N49" s="40">
        <f t="shared" si="15"/>
        <v>0</v>
      </c>
      <c r="O49" s="41">
        <f>COUNTIF(Vertices[Eigenvector Centrality],"&gt;= "&amp;N49)-COUNTIF(Vertices[Eigenvector Centrality],"&gt;="&amp;N50)</f>
        <v>0</v>
      </c>
      <c r="P49" s="40">
        <f t="shared" si="16"/>
        <v>0</v>
      </c>
      <c r="Q49" s="41">
        <f>COUNTIF(Vertices[PageRank],"&gt;= "&amp;P49)-COUNTIF(Vertices[PageRank],"&gt;="&amp;P50)</f>
        <v>0</v>
      </c>
      <c r="R49" s="40">
        <f t="shared" si="17"/>
        <v>0</v>
      </c>
      <c r="S49" s="45">
        <f>COUNTIF(Vertices[Clustering Coefficient],"&gt;= "&amp;R49)-COUNTIF(Vertices[Clustering Coefficient],"&gt;="&amp;R50)</f>
        <v>0</v>
      </c>
      <c r="T49" s="40" t="e">
        <f ca="1" t="shared" si="18"/>
        <v>#REF!</v>
      </c>
      <c r="U49" s="41" t="e">
        <f ca="1" t="shared" si="0"/>
        <v>#REF!</v>
      </c>
    </row>
    <row r="50" spans="4:21" ht="15">
      <c r="D50" s="33">
        <f t="shared" si="10"/>
        <v>0</v>
      </c>
      <c r="E50" s="3">
        <f>COUNTIF(Vertices[Degree],"&gt;= "&amp;D50)-COUNTIF(Vertices[Degree],"&gt;="&amp;D51)</f>
        <v>0</v>
      </c>
      <c r="F50" s="38">
        <f t="shared" si="11"/>
        <v>0</v>
      </c>
      <c r="G50" s="39">
        <f>COUNTIF(Vertices[In-Degree],"&gt;= "&amp;F50)-COUNTIF(Vertices[In-Degree],"&gt;="&amp;F51)</f>
        <v>0</v>
      </c>
      <c r="H50" s="38">
        <f t="shared" si="12"/>
        <v>0</v>
      </c>
      <c r="I50" s="39">
        <f>COUNTIF(Vertices[Out-Degree],"&gt;= "&amp;H50)-COUNTIF(Vertices[Out-Degree],"&gt;="&amp;H51)</f>
        <v>0</v>
      </c>
      <c r="J50" s="38">
        <f t="shared" si="13"/>
        <v>0</v>
      </c>
      <c r="K50" s="39">
        <f>COUNTIF(Vertices[Betweenness Centrality],"&gt;= "&amp;J50)-COUNTIF(Vertices[Betweenness Centrality],"&gt;="&amp;J51)</f>
        <v>0</v>
      </c>
      <c r="L50" s="38">
        <f t="shared" si="14"/>
        <v>0</v>
      </c>
      <c r="M50" s="39">
        <f>COUNTIF(Vertices[Closeness Centrality],"&gt;= "&amp;L50)-COUNTIF(Vertices[Closeness Centrality],"&gt;="&amp;L51)</f>
        <v>0</v>
      </c>
      <c r="N50" s="38">
        <f t="shared" si="15"/>
        <v>0</v>
      </c>
      <c r="O50" s="39">
        <f>COUNTIF(Vertices[Eigenvector Centrality],"&gt;= "&amp;N50)-COUNTIF(Vertices[Eigenvector Centrality],"&gt;="&amp;N51)</f>
        <v>0</v>
      </c>
      <c r="P50" s="38">
        <f t="shared" si="16"/>
        <v>0</v>
      </c>
      <c r="Q50" s="39">
        <f>COUNTIF(Vertices[PageRank],"&gt;= "&amp;P50)-COUNTIF(Vertices[PageRank],"&gt;="&amp;P51)</f>
        <v>0</v>
      </c>
      <c r="R50" s="38">
        <f t="shared" si="17"/>
        <v>0</v>
      </c>
      <c r="S50" s="44">
        <f>COUNTIF(Vertices[Clustering Coefficient],"&gt;= "&amp;R50)-COUNTIF(Vertices[Clustering Coefficient],"&gt;="&amp;R51)</f>
        <v>0</v>
      </c>
      <c r="T50" s="38" t="e">
        <f ca="1" t="shared" si="18"/>
        <v>#REF!</v>
      </c>
      <c r="U50" s="39" t="e">
        <f ca="1" t="shared" si="0"/>
        <v>#REF!</v>
      </c>
    </row>
    <row r="51" spans="4:21" ht="15">
      <c r="D51" s="33">
        <f t="shared" si="10"/>
        <v>0</v>
      </c>
      <c r="E51" s="3">
        <f>COUNTIF(Vertices[Degree],"&gt;= "&amp;D51)-COUNTIF(Vertices[Degree],"&gt;="&amp;D52)</f>
        <v>0</v>
      </c>
      <c r="F51" s="40">
        <f t="shared" si="11"/>
        <v>0</v>
      </c>
      <c r="G51" s="41">
        <f>COUNTIF(Vertices[In-Degree],"&gt;= "&amp;F51)-COUNTIF(Vertices[In-Degree],"&gt;="&amp;F52)</f>
        <v>0</v>
      </c>
      <c r="H51" s="40">
        <f t="shared" si="12"/>
        <v>0</v>
      </c>
      <c r="I51" s="41">
        <f>COUNTIF(Vertices[Out-Degree],"&gt;= "&amp;H51)-COUNTIF(Vertices[Out-Degree],"&gt;="&amp;H52)</f>
        <v>0</v>
      </c>
      <c r="J51" s="40">
        <f t="shared" si="13"/>
        <v>0</v>
      </c>
      <c r="K51" s="41">
        <f>COUNTIF(Vertices[Betweenness Centrality],"&gt;= "&amp;J51)-COUNTIF(Vertices[Betweenness Centrality],"&gt;="&amp;J52)</f>
        <v>0</v>
      </c>
      <c r="L51" s="40">
        <f t="shared" si="14"/>
        <v>0</v>
      </c>
      <c r="M51" s="41">
        <f>COUNTIF(Vertices[Closeness Centrality],"&gt;= "&amp;L51)-COUNTIF(Vertices[Closeness Centrality],"&gt;="&amp;L52)</f>
        <v>0</v>
      </c>
      <c r="N51" s="40">
        <f t="shared" si="15"/>
        <v>0</v>
      </c>
      <c r="O51" s="41">
        <f>COUNTIF(Vertices[Eigenvector Centrality],"&gt;= "&amp;N51)-COUNTIF(Vertices[Eigenvector Centrality],"&gt;="&amp;N52)</f>
        <v>0</v>
      </c>
      <c r="P51" s="40">
        <f t="shared" si="16"/>
        <v>0</v>
      </c>
      <c r="Q51" s="41">
        <f>COUNTIF(Vertices[PageRank],"&gt;= "&amp;P51)-COUNTIF(Vertices[PageRank],"&gt;="&amp;P52)</f>
        <v>0</v>
      </c>
      <c r="R51" s="40">
        <f t="shared" si="17"/>
        <v>0</v>
      </c>
      <c r="S51" s="45">
        <f>COUNTIF(Vertices[Clustering Coefficient],"&gt;= "&amp;R51)-COUNTIF(Vertices[Clustering Coefficient],"&gt;="&amp;R52)</f>
        <v>0</v>
      </c>
      <c r="T51" s="40" t="e">
        <f ca="1" t="shared" si="18"/>
        <v>#REF!</v>
      </c>
      <c r="U51" s="41" t="e">
        <f ca="1" t="shared" si="0"/>
        <v>#REF!</v>
      </c>
    </row>
    <row r="52" spans="4:21" ht="15">
      <c r="D52" s="33">
        <f t="shared" si="10"/>
        <v>0</v>
      </c>
      <c r="E52" s="3">
        <f>COUNTIF(Vertices[Degree],"&gt;= "&amp;D52)-COUNTIF(Vertices[Degree],"&gt;="&amp;D53)</f>
        <v>0</v>
      </c>
      <c r="F52" s="38">
        <f t="shared" si="11"/>
        <v>0</v>
      </c>
      <c r="G52" s="39">
        <f>COUNTIF(Vertices[In-Degree],"&gt;= "&amp;F52)-COUNTIF(Vertices[In-Degree],"&gt;="&amp;F53)</f>
        <v>0</v>
      </c>
      <c r="H52" s="38">
        <f t="shared" si="12"/>
        <v>0</v>
      </c>
      <c r="I52" s="39">
        <f>COUNTIF(Vertices[Out-Degree],"&gt;= "&amp;H52)-COUNTIF(Vertices[Out-Degree],"&gt;="&amp;H53)</f>
        <v>0</v>
      </c>
      <c r="J52" s="38">
        <f t="shared" si="13"/>
        <v>0</v>
      </c>
      <c r="K52" s="39">
        <f>COUNTIF(Vertices[Betweenness Centrality],"&gt;= "&amp;J52)-COUNTIF(Vertices[Betweenness Centrality],"&gt;="&amp;J53)</f>
        <v>0</v>
      </c>
      <c r="L52" s="38">
        <f t="shared" si="14"/>
        <v>0</v>
      </c>
      <c r="M52" s="39">
        <f>COUNTIF(Vertices[Closeness Centrality],"&gt;= "&amp;L52)-COUNTIF(Vertices[Closeness Centrality],"&gt;="&amp;L53)</f>
        <v>0</v>
      </c>
      <c r="N52" s="38">
        <f t="shared" si="15"/>
        <v>0</v>
      </c>
      <c r="O52" s="39">
        <f>COUNTIF(Vertices[Eigenvector Centrality],"&gt;= "&amp;N52)-COUNTIF(Vertices[Eigenvector Centrality],"&gt;="&amp;N53)</f>
        <v>0</v>
      </c>
      <c r="P52" s="38">
        <f t="shared" si="16"/>
        <v>0</v>
      </c>
      <c r="Q52" s="39">
        <f>COUNTIF(Vertices[PageRank],"&gt;= "&amp;P52)-COUNTIF(Vertices[PageRank],"&gt;="&amp;P53)</f>
        <v>0</v>
      </c>
      <c r="R52" s="38">
        <f t="shared" si="17"/>
        <v>0</v>
      </c>
      <c r="S52" s="44">
        <f>COUNTIF(Vertices[Clustering Coefficient],"&gt;= "&amp;R52)-COUNTIF(Vertices[Clustering Coefficient],"&gt;="&amp;R53)</f>
        <v>0</v>
      </c>
      <c r="T52" s="38" t="e">
        <f ca="1" t="shared" si="18"/>
        <v>#REF!</v>
      </c>
      <c r="U52" s="39" t="e">
        <f ca="1" t="shared" si="0"/>
        <v>#REF!</v>
      </c>
    </row>
    <row r="53" spans="4:21" ht="15">
      <c r="D53" s="33">
        <f t="shared" si="10"/>
        <v>0</v>
      </c>
      <c r="E53" s="3">
        <f>COUNTIF(Vertices[Degree],"&gt;= "&amp;D53)-COUNTIF(Vertices[Degree],"&gt;="&amp;D54)</f>
        <v>0</v>
      </c>
      <c r="F53" s="40">
        <f t="shared" si="11"/>
        <v>0</v>
      </c>
      <c r="G53" s="41">
        <f>COUNTIF(Vertices[In-Degree],"&gt;= "&amp;F53)-COUNTIF(Vertices[In-Degree],"&gt;="&amp;F54)</f>
        <v>0</v>
      </c>
      <c r="H53" s="40">
        <f t="shared" si="12"/>
        <v>0</v>
      </c>
      <c r="I53" s="41">
        <f>COUNTIF(Vertices[Out-Degree],"&gt;= "&amp;H53)-COUNTIF(Vertices[Out-Degree],"&gt;="&amp;H54)</f>
        <v>0</v>
      </c>
      <c r="J53" s="40">
        <f t="shared" si="13"/>
        <v>0</v>
      </c>
      <c r="K53" s="41">
        <f>COUNTIF(Vertices[Betweenness Centrality],"&gt;= "&amp;J53)-COUNTIF(Vertices[Betweenness Centrality],"&gt;="&amp;J54)</f>
        <v>0</v>
      </c>
      <c r="L53" s="40">
        <f t="shared" si="14"/>
        <v>0</v>
      </c>
      <c r="M53" s="41">
        <f>COUNTIF(Vertices[Closeness Centrality],"&gt;= "&amp;L53)-COUNTIF(Vertices[Closeness Centrality],"&gt;="&amp;L54)</f>
        <v>0</v>
      </c>
      <c r="N53" s="40">
        <f t="shared" si="15"/>
        <v>0</v>
      </c>
      <c r="O53" s="41">
        <f>COUNTIF(Vertices[Eigenvector Centrality],"&gt;= "&amp;N53)-COUNTIF(Vertices[Eigenvector Centrality],"&gt;="&amp;N54)</f>
        <v>0</v>
      </c>
      <c r="P53" s="40">
        <f t="shared" si="16"/>
        <v>0</v>
      </c>
      <c r="Q53" s="41">
        <f>COUNTIF(Vertices[PageRank],"&gt;= "&amp;P53)-COUNTIF(Vertices[PageRank],"&gt;="&amp;P54)</f>
        <v>0</v>
      </c>
      <c r="R53" s="40">
        <f t="shared" si="17"/>
        <v>0</v>
      </c>
      <c r="S53" s="45">
        <f>COUNTIF(Vertices[Clustering Coefficient],"&gt;= "&amp;R53)-COUNTIF(Vertices[Clustering Coefficient],"&gt;="&amp;R54)</f>
        <v>0</v>
      </c>
      <c r="T53" s="40" t="e">
        <f ca="1" t="shared" si="18"/>
        <v>#REF!</v>
      </c>
      <c r="U53" s="41" t="e">
        <f ca="1" t="shared" si="0"/>
        <v>#REF!</v>
      </c>
    </row>
    <row r="54" spans="4:21" ht="15">
      <c r="D54" s="33">
        <f t="shared" si="10"/>
        <v>0</v>
      </c>
      <c r="E54" s="3">
        <f>COUNTIF(Vertices[Degree],"&gt;= "&amp;D54)-COUNTIF(Vertices[Degree],"&gt;="&amp;D55)</f>
        <v>0</v>
      </c>
      <c r="F54" s="38">
        <f t="shared" si="11"/>
        <v>0</v>
      </c>
      <c r="G54" s="39">
        <f>COUNTIF(Vertices[In-Degree],"&gt;= "&amp;F54)-COUNTIF(Vertices[In-Degree],"&gt;="&amp;F55)</f>
        <v>0</v>
      </c>
      <c r="H54" s="38">
        <f t="shared" si="12"/>
        <v>0</v>
      </c>
      <c r="I54" s="39">
        <f>COUNTIF(Vertices[Out-Degree],"&gt;= "&amp;H54)-COUNTIF(Vertices[Out-Degree],"&gt;="&amp;H55)</f>
        <v>0</v>
      </c>
      <c r="J54" s="38">
        <f t="shared" si="13"/>
        <v>0</v>
      </c>
      <c r="K54" s="39">
        <f>COUNTIF(Vertices[Betweenness Centrality],"&gt;= "&amp;J54)-COUNTIF(Vertices[Betweenness Centrality],"&gt;="&amp;J55)</f>
        <v>0</v>
      </c>
      <c r="L54" s="38">
        <f t="shared" si="14"/>
        <v>0</v>
      </c>
      <c r="M54" s="39">
        <f>COUNTIF(Vertices[Closeness Centrality],"&gt;= "&amp;L54)-COUNTIF(Vertices[Closeness Centrality],"&gt;="&amp;L55)</f>
        <v>0</v>
      </c>
      <c r="N54" s="38">
        <f t="shared" si="15"/>
        <v>0</v>
      </c>
      <c r="O54" s="39">
        <f>COUNTIF(Vertices[Eigenvector Centrality],"&gt;= "&amp;N54)-COUNTIF(Vertices[Eigenvector Centrality],"&gt;="&amp;N55)</f>
        <v>0</v>
      </c>
      <c r="P54" s="38">
        <f t="shared" si="16"/>
        <v>0</v>
      </c>
      <c r="Q54" s="39">
        <f>COUNTIF(Vertices[PageRank],"&gt;= "&amp;P54)-COUNTIF(Vertices[PageRank],"&gt;="&amp;P55)</f>
        <v>0</v>
      </c>
      <c r="R54" s="38">
        <f t="shared" si="17"/>
        <v>0</v>
      </c>
      <c r="S54" s="44">
        <f>COUNTIF(Vertices[Clustering Coefficient],"&gt;= "&amp;R54)-COUNTIF(Vertices[Clustering Coefficient],"&gt;="&amp;R55)</f>
        <v>0</v>
      </c>
      <c r="T54" s="38" t="e">
        <f ca="1" t="shared" si="18"/>
        <v>#REF!</v>
      </c>
      <c r="U54" s="39" t="e">
        <f ca="1" t="shared" si="0"/>
        <v>#REF!</v>
      </c>
    </row>
    <row r="55" spans="1:21" ht="15">
      <c r="A55" s="34" t="s">
        <v>81</v>
      </c>
      <c r="B55" s="47" t="str">
        <f>IF(COUNT(Vertices[Degree])&gt;0,D2,NoMetricMessage)</f>
        <v>Not Available</v>
      </c>
      <c r="D55" s="33">
        <f t="shared" si="10"/>
        <v>0</v>
      </c>
      <c r="E55" s="3">
        <f>COUNTIF(Vertices[Degree],"&gt;= "&amp;D55)-COUNTIF(Vertices[Degree],"&gt;="&amp;D56)</f>
        <v>0</v>
      </c>
      <c r="F55" s="40">
        <f t="shared" si="11"/>
        <v>0</v>
      </c>
      <c r="G55" s="41">
        <f>COUNTIF(Vertices[In-Degree],"&gt;= "&amp;F55)-COUNTIF(Vertices[In-Degree],"&gt;="&amp;F56)</f>
        <v>0</v>
      </c>
      <c r="H55" s="40">
        <f t="shared" si="12"/>
        <v>0</v>
      </c>
      <c r="I55" s="41">
        <f>COUNTIF(Vertices[Out-Degree],"&gt;= "&amp;H55)-COUNTIF(Vertices[Out-Degree],"&gt;="&amp;H56)</f>
        <v>0</v>
      </c>
      <c r="J55" s="40">
        <f t="shared" si="13"/>
        <v>0</v>
      </c>
      <c r="K55" s="41">
        <f>COUNTIF(Vertices[Betweenness Centrality],"&gt;= "&amp;J55)-COUNTIF(Vertices[Betweenness Centrality],"&gt;="&amp;J56)</f>
        <v>0</v>
      </c>
      <c r="L55" s="40">
        <f t="shared" si="14"/>
        <v>0</v>
      </c>
      <c r="M55" s="41">
        <f>COUNTIF(Vertices[Closeness Centrality],"&gt;= "&amp;L55)-COUNTIF(Vertices[Closeness Centrality],"&gt;="&amp;L56)</f>
        <v>0</v>
      </c>
      <c r="N55" s="40">
        <f t="shared" si="15"/>
        <v>0</v>
      </c>
      <c r="O55" s="41">
        <f>COUNTIF(Vertices[Eigenvector Centrality],"&gt;= "&amp;N55)-COUNTIF(Vertices[Eigenvector Centrality],"&gt;="&amp;N56)</f>
        <v>0</v>
      </c>
      <c r="P55" s="40">
        <f t="shared" si="16"/>
        <v>0</v>
      </c>
      <c r="Q55" s="41">
        <f>COUNTIF(Vertices[PageRank],"&gt;= "&amp;P55)-COUNTIF(Vertices[PageRank],"&gt;="&amp;P56)</f>
        <v>0</v>
      </c>
      <c r="R55" s="40">
        <f t="shared" si="17"/>
        <v>0</v>
      </c>
      <c r="S55" s="45">
        <f>COUNTIF(Vertices[Clustering Coefficient],"&gt;= "&amp;R55)-COUNTIF(Vertices[Clustering Coefficient],"&gt;="&amp;R56)</f>
        <v>0</v>
      </c>
      <c r="T55" s="40" t="e">
        <f ca="1" t="shared" si="18"/>
        <v>#REF!</v>
      </c>
      <c r="U55" s="41" t="e">
        <f ca="1" t="shared" si="0"/>
        <v>#REF!</v>
      </c>
    </row>
    <row r="56" spans="1:21" ht="15">
      <c r="A56" s="34" t="s">
        <v>82</v>
      </c>
      <c r="B56" s="47" t="str">
        <f>IF(COUNT(Vertices[Degree])&gt;0,D57,NoMetricMessage)</f>
        <v>Not Available</v>
      </c>
      <c r="D56" s="33">
        <f t="shared" si="10"/>
        <v>0</v>
      </c>
      <c r="E56" s="3">
        <f>COUNTIF(Vertices[Degree],"&gt;= "&amp;D56)-COUNTIF(Vertices[Degree],"&gt;="&amp;D57)</f>
        <v>0</v>
      </c>
      <c r="F56" s="38">
        <f t="shared" si="11"/>
        <v>0</v>
      </c>
      <c r="G56" s="39">
        <f>COUNTIF(Vertices[In-Degree],"&gt;= "&amp;F56)-COUNTIF(Vertices[In-Degree],"&gt;="&amp;F57)</f>
        <v>0</v>
      </c>
      <c r="H56" s="38">
        <f t="shared" si="12"/>
        <v>0</v>
      </c>
      <c r="I56" s="39">
        <f>COUNTIF(Vertices[Out-Degree],"&gt;= "&amp;H56)-COUNTIF(Vertices[Out-Degree],"&gt;="&amp;H57)</f>
        <v>0</v>
      </c>
      <c r="J56" s="38">
        <f t="shared" si="13"/>
        <v>0</v>
      </c>
      <c r="K56" s="39">
        <f>COUNTIF(Vertices[Betweenness Centrality],"&gt;= "&amp;J56)-COUNTIF(Vertices[Betweenness Centrality],"&gt;="&amp;J57)</f>
        <v>0</v>
      </c>
      <c r="L56" s="38">
        <f t="shared" si="14"/>
        <v>0</v>
      </c>
      <c r="M56" s="39">
        <f>COUNTIF(Vertices[Closeness Centrality],"&gt;= "&amp;L56)-COUNTIF(Vertices[Closeness Centrality],"&gt;="&amp;L57)</f>
        <v>0</v>
      </c>
      <c r="N56" s="38">
        <f t="shared" si="15"/>
        <v>0</v>
      </c>
      <c r="O56" s="39">
        <f>COUNTIF(Vertices[Eigenvector Centrality],"&gt;= "&amp;N56)-COUNTIF(Vertices[Eigenvector Centrality],"&gt;="&amp;N57)</f>
        <v>0</v>
      </c>
      <c r="P56" s="38">
        <f t="shared" si="16"/>
        <v>0</v>
      </c>
      <c r="Q56" s="39">
        <f>COUNTIF(Vertices[PageRank],"&gt;= "&amp;P56)-COUNTIF(Vertices[PageRank],"&gt;="&amp;P57)</f>
        <v>0</v>
      </c>
      <c r="R56" s="38">
        <f t="shared" si="17"/>
        <v>0</v>
      </c>
      <c r="S56" s="44">
        <f>COUNTIF(Vertices[Clustering Coefficient],"&gt;= "&amp;R56)-COUNTIF(Vertices[Clustering Coefficient],"&gt;="&amp;R57)</f>
        <v>0</v>
      </c>
      <c r="T56" s="38" t="e">
        <f ca="1" t="shared" si="18"/>
        <v>#REF!</v>
      </c>
      <c r="U56" s="39" t="e">
        <f ca="1" t="shared" si="0"/>
        <v>#REF!</v>
      </c>
    </row>
    <row r="57" spans="1:21" ht="15">
      <c r="A57" s="34" t="s">
        <v>83</v>
      </c>
      <c r="B57" s="48" t="str">
        <f>_xlfn.IFERROR(AVERAGE(Vertices[Degree]),NoMetricMessage)</f>
        <v>Not Available</v>
      </c>
      <c r="D57" s="33">
        <f>MAX(Vertices[Degree])</f>
        <v>0</v>
      </c>
      <c r="E57" s="3">
        <f>COUNTIF(Vertices[Degree],"&gt;= "&amp;D57)-COUNTIF(Vertices[Degree],"&gt;="&amp;D58)</f>
        <v>0</v>
      </c>
      <c r="F57" s="42">
        <f>MAX(Vertices[In-Degree])</f>
        <v>0</v>
      </c>
      <c r="G57" s="43">
        <f>COUNTIF(Vertices[In-Degree],"&gt;= "&amp;F57)-COUNTIF(Vertices[In-Degree],"&gt;="&amp;F58)</f>
        <v>0</v>
      </c>
      <c r="H57" s="42">
        <f>MAX(Vertices[Out-Degree])</f>
        <v>0</v>
      </c>
      <c r="I57" s="43">
        <f>COUNTIF(Vertices[Out-Degree],"&gt;= "&amp;H57)-COUNTIF(Vertices[Out-Degree],"&gt;="&amp;H58)</f>
        <v>0</v>
      </c>
      <c r="J57" s="42">
        <f>MAX(Vertices[Betweenness Centrality])</f>
        <v>0</v>
      </c>
      <c r="K57" s="43">
        <f>COUNTIF(Vertices[Betweenness Centrality],"&gt;= "&amp;J57)-COUNTIF(Vertices[Betweenness Centrality],"&gt;="&amp;J58)</f>
        <v>0</v>
      </c>
      <c r="L57" s="42">
        <f>MAX(Vertices[Closeness Centrality])</f>
        <v>0</v>
      </c>
      <c r="M57" s="43">
        <f>COUNTIF(Vertices[Closeness Centrality],"&gt;= "&amp;L57)-COUNTIF(Vertices[Closeness Centrality],"&gt;="&amp;L58)</f>
        <v>0</v>
      </c>
      <c r="N57" s="42">
        <f>MAX(Vertices[Eigenvector Centrality])</f>
        <v>0</v>
      </c>
      <c r="O57" s="43">
        <f>COUNTIF(Vertices[Eigenvector Centrality],"&gt;= "&amp;N57)-COUNTIF(Vertices[Eigenvector Centrality],"&gt;="&amp;N58)</f>
        <v>0</v>
      </c>
      <c r="P57" s="42">
        <f>MAX(Vertices[PageRank])</f>
        <v>0</v>
      </c>
      <c r="Q57" s="43">
        <f>COUNTIF(Vertices[PageRank],"&gt;= "&amp;P57)-COUNTIF(Vertices[PageRank],"&gt;="&amp;P58)</f>
        <v>0</v>
      </c>
      <c r="R57" s="42">
        <f>MAX(Vertices[Clustering Coefficient])</f>
        <v>0</v>
      </c>
      <c r="S57" s="46">
        <f>COUNTIF(Vertices[Clustering Coefficient],"&gt;= "&amp;R57)-COUNTIF(Vertices[Clustering Coefficient],"&gt;="&amp;R58)</f>
        <v>0</v>
      </c>
      <c r="T57" s="42" t="e">
        <f ca="1">MAX(INDIRECT(DynamicFilterSourceColumnRange))</f>
        <v>#REF!</v>
      </c>
      <c r="U57" s="43" t="e">
        <f ca="1" t="shared" si="0"/>
        <v>#REF!</v>
      </c>
    </row>
    <row r="58" spans="1:2" ht="15">
      <c r="A58" s="34" t="s">
        <v>84</v>
      </c>
      <c r="B58" s="48" t="str">
        <f>_xlfn.IFERROR(MEDIAN(Vertices[Degree]),NoMetricMessage)</f>
        <v>Not Available</v>
      </c>
    </row>
    <row r="69" spans="1:2" ht="15">
      <c r="A69" s="34" t="s">
        <v>88</v>
      </c>
      <c r="B69" s="47" t="str">
        <f>IF(COUNT(Vertices[In-Degree])&gt;0,F2,NoMetricMessage)</f>
        <v>Not Available</v>
      </c>
    </row>
    <row r="70" spans="1:2" ht="15">
      <c r="A70" s="34" t="s">
        <v>89</v>
      </c>
      <c r="B70" s="47" t="str">
        <f>IF(COUNT(Vertices[In-Degree])&gt;0,F57,NoMetricMessage)</f>
        <v>Not Available</v>
      </c>
    </row>
    <row r="71" spans="1:2" ht="15">
      <c r="A71" s="34" t="s">
        <v>90</v>
      </c>
      <c r="B71" s="48" t="str">
        <f>_xlfn.IFERROR(AVERAGE(Vertices[In-Degree]),NoMetricMessage)</f>
        <v>Not Available</v>
      </c>
    </row>
    <row r="72" spans="1:2" ht="15">
      <c r="A72" s="34" t="s">
        <v>91</v>
      </c>
      <c r="B72" s="48" t="str">
        <f>_xlfn.IFERROR(MEDIAN(Vertices[In-Degree]),NoMetricMessage)</f>
        <v>Not Available</v>
      </c>
    </row>
    <row r="83" spans="1:2" ht="15">
      <c r="A83" s="34" t="s">
        <v>94</v>
      </c>
      <c r="B83" s="47" t="str">
        <f>IF(COUNT(Vertices[Out-Degree])&gt;0,H2,NoMetricMessage)</f>
        <v>Not Available</v>
      </c>
    </row>
    <row r="84" spans="1:2" ht="15">
      <c r="A84" s="34" t="s">
        <v>95</v>
      </c>
      <c r="B84" s="47" t="str">
        <f>IF(COUNT(Vertices[Out-Degree])&gt;0,H57,NoMetricMessage)</f>
        <v>Not Available</v>
      </c>
    </row>
    <row r="85" spans="1:2" ht="15">
      <c r="A85" s="34" t="s">
        <v>96</v>
      </c>
      <c r="B85" s="48" t="str">
        <f>_xlfn.IFERROR(AVERAGE(Vertices[Out-Degree]),NoMetricMessage)</f>
        <v>Not Available</v>
      </c>
    </row>
    <row r="86" spans="1:2" ht="15">
      <c r="A86" s="34" t="s">
        <v>97</v>
      </c>
      <c r="B86" s="48" t="str">
        <f>_xlfn.IFERROR(MEDIAN(Vertices[Out-Degree]),NoMetricMessage)</f>
        <v>Not Available</v>
      </c>
    </row>
    <row r="97" spans="1:2" ht="15">
      <c r="A97" s="34" t="s">
        <v>100</v>
      </c>
      <c r="B97" s="48" t="str">
        <f>IF(COUNT(Vertices[Betweenness Centrality])&gt;0,J2,NoMetricMessage)</f>
        <v>Not Available</v>
      </c>
    </row>
    <row r="98" spans="1:2" ht="15">
      <c r="A98" s="34" t="s">
        <v>101</v>
      </c>
      <c r="B98" s="48" t="str">
        <f>IF(COUNT(Vertices[Betweenness Centrality])&gt;0,J57,NoMetricMessage)</f>
        <v>Not Available</v>
      </c>
    </row>
    <row r="99" spans="1:2" ht="15">
      <c r="A99" s="34" t="s">
        <v>102</v>
      </c>
      <c r="B99" s="48" t="str">
        <f>_xlfn.IFERROR(AVERAGE(Vertices[Betweenness Centrality]),NoMetricMessage)</f>
        <v>Not Available</v>
      </c>
    </row>
    <row r="100" spans="1:2" ht="15">
      <c r="A100" s="34" t="s">
        <v>103</v>
      </c>
      <c r="B100" s="48" t="str">
        <f>_xlfn.IFERROR(MEDIAN(Vertices[Betweenness Centrality]),NoMetricMessage)</f>
        <v>Not Available</v>
      </c>
    </row>
    <row r="111" spans="1:2" ht="15">
      <c r="A111" s="34" t="s">
        <v>106</v>
      </c>
      <c r="B111" s="48" t="str">
        <f>IF(COUNT(Vertices[Closeness Centrality])&gt;0,L2,NoMetricMessage)</f>
        <v>Not Available</v>
      </c>
    </row>
    <row r="112" spans="1:2" ht="15">
      <c r="A112" s="34" t="s">
        <v>107</v>
      </c>
      <c r="B112" s="48" t="str">
        <f>IF(COUNT(Vertices[Closeness Centrality])&gt;0,L57,NoMetricMessage)</f>
        <v>Not Available</v>
      </c>
    </row>
    <row r="113" spans="1:2" ht="15">
      <c r="A113" s="34" t="s">
        <v>108</v>
      </c>
      <c r="B113" s="48" t="str">
        <f>_xlfn.IFERROR(AVERAGE(Vertices[Closeness Centrality]),NoMetricMessage)</f>
        <v>Not Available</v>
      </c>
    </row>
    <row r="114" spans="1:2" ht="15">
      <c r="A114" s="34" t="s">
        <v>109</v>
      </c>
      <c r="B114" s="48" t="str">
        <f>_xlfn.IFERROR(MEDIAN(Vertices[Closeness Centrality]),NoMetricMessage)</f>
        <v>Not Available</v>
      </c>
    </row>
    <row r="125" spans="1:2" ht="15">
      <c r="A125" s="34" t="s">
        <v>112</v>
      </c>
      <c r="B125" s="48" t="str">
        <f>IF(COUNT(Vertices[Eigenvector Centrality])&gt;0,N2,NoMetricMessage)</f>
        <v>Not Available</v>
      </c>
    </row>
    <row r="126" spans="1:2" ht="15">
      <c r="A126" s="34" t="s">
        <v>113</v>
      </c>
      <c r="B126" s="48" t="str">
        <f>IF(COUNT(Vertices[Eigenvector Centrality])&gt;0,N57,NoMetricMessage)</f>
        <v>Not Available</v>
      </c>
    </row>
    <row r="127" spans="1:2" ht="15">
      <c r="A127" s="34" t="s">
        <v>114</v>
      </c>
      <c r="B127" s="48" t="str">
        <f>_xlfn.IFERROR(AVERAGE(Vertices[Eigenvector Centrality]),NoMetricMessage)</f>
        <v>Not Available</v>
      </c>
    </row>
    <row r="128" spans="1:2" ht="15">
      <c r="A128" s="34" t="s">
        <v>115</v>
      </c>
      <c r="B128" s="48" t="str">
        <f>_xlfn.IFERROR(MEDIAN(Vertices[Eigenvector Centrality]),NoMetricMessage)</f>
        <v>Not Available</v>
      </c>
    </row>
    <row r="139" spans="1:2" ht="15">
      <c r="A139" s="34" t="s">
        <v>140</v>
      </c>
      <c r="B139" s="48" t="str">
        <f>IF(COUNT(Vertices[PageRank])&gt;0,P2,NoMetricMessage)</f>
        <v>Not Available</v>
      </c>
    </row>
    <row r="140" spans="1:2" ht="15">
      <c r="A140" s="34" t="s">
        <v>141</v>
      </c>
      <c r="B140" s="48" t="str">
        <f>IF(COUNT(Vertices[PageRank])&gt;0,P57,NoMetricMessage)</f>
        <v>Not Available</v>
      </c>
    </row>
    <row r="141" spans="1:2" ht="15">
      <c r="A141" s="34" t="s">
        <v>142</v>
      </c>
      <c r="B141" s="48" t="str">
        <f>_xlfn.IFERROR(AVERAGE(Vertices[PageRank]),NoMetricMessage)</f>
        <v>Not Available</v>
      </c>
    </row>
    <row r="142" spans="1:2" ht="15">
      <c r="A142" s="34" t="s">
        <v>143</v>
      </c>
      <c r="B142" s="48" t="str">
        <f>_xlfn.IFERROR(MEDIAN(Vertices[PageRank]),NoMetricMessage)</f>
        <v>Not Available</v>
      </c>
    </row>
    <row r="153" spans="1:2" ht="15">
      <c r="A153" s="34" t="s">
        <v>118</v>
      </c>
      <c r="B153" s="48" t="str">
        <f>IF(COUNT(Vertices[Clustering Coefficient])&gt;0,R2,NoMetricMessage)</f>
        <v>Not Available</v>
      </c>
    </row>
    <row r="154" spans="1:2" ht="15">
      <c r="A154" s="34" t="s">
        <v>119</v>
      </c>
      <c r="B154" s="48" t="str">
        <f>IF(COUNT(Vertices[Clustering Coefficient])&gt;0,R57,NoMetricMessage)</f>
        <v>Not Available</v>
      </c>
    </row>
    <row r="155" spans="1:2" ht="15">
      <c r="A155" s="34" t="s">
        <v>120</v>
      </c>
      <c r="B155" s="48" t="str">
        <f>_xlfn.IFERROR(AVERAGE(Vertices[Clustering Coefficient]),NoMetricMessage)</f>
        <v>Not Available</v>
      </c>
    </row>
    <row r="156" spans="1:2" ht="15">
      <c r="A156" s="34" t="s">
        <v>121</v>
      </c>
      <c r="B156"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235</v>
      </c>
      <c r="K7" s="13" t="s">
        <v>236</v>
      </c>
    </row>
    <row r="8" spans="1:11" ht="409.5">
      <c r="A8"/>
      <c r="B8">
        <v>2</v>
      </c>
      <c r="C8">
        <v>2</v>
      </c>
      <c r="D8" t="s">
        <v>61</v>
      </c>
      <c r="E8" t="s">
        <v>61</v>
      </c>
      <c r="H8" t="s">
        <v>73</v>
      </c>
      <c r="J8" t="s">
        <v>237</v>
      </c>
      <c r="K8" s="13" t="s">
        <v>238</v>
      </c>
    </row>
    <row r="9" spans="1:11" ht="409.5">
      <c r="A9"/>
      <c r="B9">
        <v>3</v>
      </c>
      <c r="C9">
        <v>4</v>
      </c>
      <c r="D9" t="s">
        <v>62</v>
      </c>
      <c r="E9" t="s">
        <v>62</v>
      </c>
      <c r="H9" t="s">
        <v>74</v>
      </c>
      <c r="J9" t="s">
        <v>239</v>
      </c>
      <c r="K9" s="13" t="s">
        <v>240</v>
      </c>
    </row>
    <row r="10" spans="1:11" ht="409.5">
      <c r="A10"/>
      <c r="B10">
        <v>4</v>
      </c>
      <c r="D10" t="s">
        <v>63</v>
      </c>
      <c r="E10" t="s">
        <v>63</v>
      </c>
      <c r="H10" t="s">
        <v>75</v>
      </c>
      <c r="J10" t="s">
        <v>241</v>
      </c>
      <c r="K10" s="13" t="s">
        <v>242</v>
      </c>
    </row>
    <row r="11" spans="1:11" ht="15">
      <c r="A11"/>
      <c r="B11">
        <v>5</v>
      </c>
      <c r="D11" t="s">
        <v>46</v>
      </c>
      <c r="E11">
        <v>1</v>
      </c>
      <c r="H11" t="s">
        <v>76</v>
      </c>
      <c r="J11" t="s">
        <v>243</v>
      </c>
      <c r="K11" t="s">
        <v>244</v>
      </c>
    </row>
    <row r="12" spans="1:11" ht="15">
      <c r="A12"/>
      <c r="B12"/>
      <c r="D12" t="s">
        <v>64</v>
      </c>
      <c r="E12">
        <v>2</v>
      </c>
      <c r="H12">
        <v>0</v>
      </c>
      <c r="J12" t="s">
        <v>245</v>
      </c>
      <c r="K12" t="s">
        <v>246</v>
      </c>
    </row>
    <row r="13" spans="1:11" ht="15">
      <c r="A13"/>
      <c r="B13"/>
      <c r="D13">
        <v>1</v>
      </c>
      <c r="E13">
        <v>3</v>
      </c>
      <c r="H13">
        <v>1</v>
      </c>
      <c r="J13" t="s">
        <v>247</v>
      </c>
      <c r="K13" t="s">
        <v>248</v>
      </c>
    </row>
    <row r="14" spans="4:11" ht="15">
      <c r="D14">
        <v>2</v>
      </c>
      <c r="E14">
        <v>4</v>
      </c>
      <c r="H14">
        <v>2</v>
      </c>
      <c r="J14" t="s">
        <v>249</v>
      </c>
      <c r="K14" t="s">
        <v>250</v>
      </c>
    </row>
    <row r="15" spans="4:11" ht="15">
      <c r="D15">
        <v>3</v>
      </c>
      <c r="E15">
        <v>5</v>
      </c>
      <c r="H15">
        <v>3</v>
      </c>
      <c r="J15" t="s">
        <v>251</v>
      </c>
      <c r="K15" t="s">
        <v>252</v>
      </c>
    </row>
    <row r="16" spans="4:11" ht="15">
      <c r="D16">
        <v>4</v>
      </c>
      <c r="E16">
        <v>6</v>
      </c>
      <c r="H16">
        <v>4</v>
      </c>
      <c r="J16" t="s">
        <v>253</v>
      </c>
      <c r="K16" t="s">
        <v>254</v>
      </c>
    </row>
    <row r="17" spans="4:11" ht="15">
      <c r="D17">
        <v>5</v>
      </c>
      <c r="E17">
        <v>7</v>
      </c>
      <c r="H17">
        <v>5</v>
      </c>
      <c r="J17" t="s">
        <v>255</v>
      </c>
      <c r="K17" t="s">
        <v>256</v>
      </c>
    </row>
    <row r="18" spans="4:11" ht="15">
      <c r="D18">
        <v>6</v>
      </c>
      <c r="E18">
        <v>8</v>
      </c>
      <c r="H18">
        <v>6</v>
      </c>
      <c r="J18" t="s">
        <v>257</v>
      </c>
      <c r="K18" t="s">
        <v>258</v>
      </c>
    </row>
    <row r="19" spans="4:11" ht="15">
      <c r="D19">
        <v>7</v>
      </c>
      <c r="E19">
        <v>9</v>
      </c>
      <c r="H19">
        <v>7</v>
      </c>
      <c r="J19" t="s">
        <v>259</v>
      </c>
      <c r="K19" t="s">
        <v>260</v>
      </c>
    </row>
    <row r="20" spans="4:11" ht="15">
      <c r="D20">
        <v>8</v>
      </c>
      <c r="H20">
        <v>8</v>
      </c>
      <c r="J20" t="s">
        <v>261</v>
      </c>
      <c r="K20" t="s">
        <v>262</v>
      </c>
    </row>
    <row r="21" spans="4:11" ht="409.5">
      <c r="D21">
        <v>9</v>
      </c>
      <c r="H21">
        <v>9</v>
      </c>
      <c r="J21" t="s">
        <v>263</v>
      </c>
      <c r="K21" s="13" t="s">
        <v>264</v>
      </c>
    </row>
    <row r="22" spans="4:11" ht="409.5">
      <c r="D22">
        <v>10</v>
      </c>
      <c r="J22" t="s">
        <v>265</v>
      </c>
      <c r="K22" s="13" t="s">
        <v>266</v>
      </c>
    </row>
    <row r="23" spans="4:11" ht="409.5">
      <c r="D23">
        <v>11</v>
      </c>
      <c r="J23" t="s">
        <v>267</v>
      </c>
      <c r="K23" s="13" t="s">
        <v>268</v>
      </c>
    </row>
    <row r="24" spans="10:11" ht="409.5">
      <c r="J24" t="s">
        <v>269</v>
      </c>
      <c r="K24" s="13" t="s">
        <v>346</v>
      </c>
    </row>
    <row r="25" spans="10:11" ht="15">
      <c r="J25" t="s">
        <v>270</v>
      </c>
      <c r="K25" t="b">
        <v>0</v>
      </c>
    </row>
    <row r="26" spans="10:11" ht="15">
      <c r="J26" t="s">
        <v>344</v>
      </c>
      <c r="K26" t="s">
        <v>345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3" t="s">
        <v>280</v>
      </c>
      <c r="B1" s="83" t="s">
        <v>281</v>
      </c>
    </row>
    <row r="2" spans="1:2" ht="15">
      <c r="A2" s="83"/>
      <c r="B2" s="83"/>
    </row>
    <row r="4" spans="1:2" ht="15" customHeight="1">
      <c r="A4" s="83" t="s">
        <v>283</v>
      </c>
      <c r="B4" s="83" t="s">
        <v>281</v>
      </c>
    </row>
    <row r="5" spans="1:2" ht="15">
      <c r="A5" s="83"/>
      <c r="B5" s="83"/>
    </row>
    <row r="7" spans="1:2" ht="15" customHeight="1">
      <c r="A7" s="83" t="s">
        <v>285</v>
      </c>
      <c r="B7" s="83" t="s">
        <v>281</v>
      </c>
    </row>
    <row r="8" spans="1:2" ht="15">
      <c r="A8" s="83"/>
      <c r="B8" s="83"/>
    </row>
    <row r="10" spans="1:2" ht="15" customHeight="1">
      <c r="A10" s="13" t="s">
        <v>287</v>
      </c>
      <c r="B10" s="13" t="s">
        <v>281</v>
      </c>
    </row>
    <row r="11" spans="1:2" ht="15">
      <c r="A11" s="87" t="s">
        <v>288</v>
      </c>
      <c r="B11" s="87">
        <v>0</v>
      </c>
    </row>
    <row r="12" spans="1:2" ht="15">
      <c r="A12" s="87" t="s">
        <v>289</v>
      </c>
      <c r="B12" s="87">
        <v>0</v>
      </c>
    </row>
    <row r="13" spans="1:2" ht="15">
      <c r="A13" s="87" t="s">
        <v>290</v>
      </c>
      <c r="B13" s="87">
        <v>0</v>
      </c>
    </row>
    <row r="14" spans="1:2" ht="15">
      <c r="A14" s="87" t="s">
        <v>291</v>
      </c>
      <c r="B14" s="87">
        <v>0</v>
      </c>
    </row>
    <row r="15" spans="1:2" ht="15">
      <c r="A15" s="87" t="s">
        <v>292</v>
      </c>
      <c r="B15" s="87">
        <v>0</v>
      </c>
    </row>
    <row r="18" spans="1:2" ht="15" customHeight="1">
      <c r="A18" s="83" t="s">
        <v>294</v>
      </c>
      <c r="B18" s="83" t="s">
        <v>281</v>
      </c>
    </row>
    <row r="19" spans="1:2" ht="15">
      <c r="A19" s="83"/>
      <c r="B19" s="83"/>
    </row>
    <row r="21" spans="1:2" ht="15" customHeight="1">
      <c r="A21" s="83" t="s">
        <v>296</v>
      </c>
      <c r="B21" s="83" t="s">
        <v>281</v>
      </c>
    </row>
    <row r="22" spans="1:2" ht="15">
      <c r="A22" s="83"/>
      <c r="B22" s="83"/>
    </row>
    <row r="24" spans="1:2" ht="15" customHeight="1">
      <c r="A24" s="83" t="s">
        <v>297</v>
      </c>
      <c r="B24" s="83" t="s">
        <v>281</v>
      </c>
    </row>
    <row r="25" spans="1:2" ht="15">
      <c r="A25" s="83"/>
      <c r="B25" s="83"/>
    </row>
    <row r="27" spans="1:2" ht="15" customHeight="1">
      <c r="A27" s="83" t="s">
        <v>300</v>
      </c>
      <c r="B27" s="83" t="s">
        <v>281</v>
      </c>
    </row>
    <row r="28" spans="1:2" ht="15">
      <c r="A28" s="81"/>
      <c r="B28" s="83"/>
    </row>
  </sheetData>
  <printOptions/>
  <pageMargins left="0.7" right="0.7" top="0.75" bottom="0.75" header="0.3" footer="0.3"/>
  <pageSetup orientation="portrait" paperSize="9"/>
  <tableParts>
    <tablePart r:id="rId4"/>
    <tablePart r:id="rId6"/>
    <tablePart r:id="rId1"/>
    <tablePart r:id="rId3"/>
    <tablePart r:id="rId7"/>
    <tablePart r:id="rId5"/>
    <tablePart r:id="rId2"/>
    <tablePart r:id="rId8"/>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312</v>
      </c>
      <c r="B1" s="13" t="s">
        <v>313</v>
      </c>
      <c r="C1" s="13" t="s">
        <v>314</v>
      </c>
      <c r="D1" s="13" t="s">
        <v>144</v>
      </c>
      <c r="E1" s="13" t="s">
        <v>316</v>
      </c>
      <c r="F1" s="13" t="s">
        <v>317</v>
      </c>
      <c r="G1" s="13" t="s">
        <v>318</v>
      </c>
    </row>
    <row r="2" spans="1:7" ht="15">
      <c r="A2" s="83" t="s">
        <v>288</v>
      </c>
      <c r="B2" s="83">
        <v>0</v>
      </c>
      <c r="C2" s="89">
        <v>0</v>
      </c>
      <c r="D2" s="83" t="s">
        <v>315</v>
      </c>
      <c r="E2" s="83"/>
      <c r="F2" s="83"/>
      <c r="G2" s="83"/>
    </row>
    <row r="3" spans="1:7" ht="15">
      <c r="A3" s="83" t="s">
        <v>289</v>
      </c>
      <c r="B3" s="83">
        <v>0</v>
      </c>
      <c r="C3" s="89">
        <v>0</v>
      </c>
      <c r="D3" s="83" t="s">
        <v>315</v>
      </c>
      <c r="E3" s="83"/>
      <c r="F3" s="83"/>
      <c r="G3" s="83"/>
    </row>
    <row r="4" spans="1:7" ht="15">
      <c r="A4" s="83" t="s">
        <v>290</v>
      </c>
      <c r="B4" s="83">
        <v>0</v>
      </c>
      <c r="C4" s="89">
        <v>0</v>
      </c>
      <c r="D4" s="83" t="s">
        <v>315</v>
      </c>
      <c r="E4" s="83"/>
      <c r="F4" s="83"/>
      <c r="G4" s="83"/>
    </row>
    <row r="5" spans="1:7" ht="15">
      <c r="A5" s="83" t="s">
        <v>291</v>
      </c>
      <c r="B5" s="83">
        <v>0</v>
      </c>
      <c r="C5" s="89">
        <v>0</v>
      </c>
      <c r="D5" s="83" t="s">
        <v>315</v>
      </c>
      <c r="E5" s="83"/>
      <c r="F5" s="83"/>
      <c r="G5" s="83"/>
    </row>
    <row r="6" spans="1:7" ht="15">
      <c r="A6" s="83" t="s">
        <v>292</v>
      </c>
      <c r="B6" s="83">
        <v>0</v>
      </c>
      <c r="C6" s="89">
        <v>1</v>
      </c>
      <c r="D6" s="83" t="s">
        <v>315</v>
      </c>
      <c r="E6" s="83"/>
      <c r="F6" s="83"/>
      <c r="G6"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2019-06-17T01:02:57Z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