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<sst xmlns="http://schemas.openxmlformats.org/spreadsheetml/2006/main" count="851" uniqueCount="465">
  <si>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</si>
  <si>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</si>
  <si>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</si>
  <si>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</si>
  <si>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</si>
  <si>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</si>
  <si>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</si>
  <si>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</si>
  <si>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</si>
  <si>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</si>
  <si>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</si>
  <si>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</si>
  <si>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</si>
  <si>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</si>
  <si>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</si>
  <si>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</si>
  <si>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</si>
  <si>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</si>
  <si>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</si>
  <si>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</si>
  <si>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</si>
  <si>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</si>
  <si>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</si>
  <si>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</si>
  <si>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</si>
  <si>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</si>
  <si>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</si>
  <si>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</si>
  <si>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</si>
  <si>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</si>
  <si>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</si>
  <si>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</si>
  <si>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</si>
  <si>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</si>
  <si>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</si>
  <si>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</si>
  <si>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</si>
  <si>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</si>
  <si>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</si>
  <si>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</si>
  <si>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</si>
  <si>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</si>
  <si>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</si>
  <si>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</si>
  <si>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</si>
  <si>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</si>
  <si>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</si>
  <si>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</si>
  <si>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</si>
  <si>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</si>
  <si>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</si>
  <si>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</si>
  <si>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</si>
  <si>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</si>
  <si>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</si>
  <si>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</si>
  <si>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</si>
  <si>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</si>
  <si>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</si>
  <si>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</si>
  <si>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</si>
  <si>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</si>
  <si>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</si>
  <si>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</si>
  <si>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</si>
  <si>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</si>
  <si>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</si>
  <si>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</si>
  <si>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</si>
  <si>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</si>
  <si>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</si>
  <si>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</si>
  <si>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</si>
  <si>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</si>
  <si>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</si>
  <si>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</si>
  <si>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</si>
  <si>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</si>
  <si>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</si>
  <si>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</si>
  <si>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</si>
  <si>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</si>
  <si>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</si>
  <si>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</si>
  <si>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</si>
  <si>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</si>
  <si>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</si>
  <si>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</si>
  <si>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</si>
  <si>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</si>
  <si>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</si>
  <si>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</si>
  <si>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</si>
  <si>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</si>
  <si>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</si>
  <si>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</si>
  <si>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</si>
  <si>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</si>
  <si>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</si>
  <si>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</si>
  <si>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</si>
  <si>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</si>
  <si>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</si>
  <si>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</si>
  <si>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</si>
  <si>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</si>
  <si>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</si>
  <si>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</si>
  <si>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</si>
  <si>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</si>
  <si>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</si>
  <si>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</si>
  <si>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</si>
  <si>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</si>
  <si>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</si>
  <si>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</si>
  <si>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</si>
  <si>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</si>
  <si>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</si>
  <si>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</si>
  <si>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</si>
  <si>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</si>
  <si>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</si>
  <si>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</si>
  <si>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</si>
  <si>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</si>
  <si>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</si>
  <si>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</si>
  <si>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</si>
  <si>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</si>
  <si>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</si>
  <si>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</si>
  <si>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</si>
  <si>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</si>
  <si>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</si>
  <si>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</si>
  <si>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</si>
  <si>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</si>
  <si>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</si>
  <si>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</si>
  <si>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</si>
  <si>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</si>
  <si>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</si>
  <si>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</si>
  <si>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</si>
  <si>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</si>
  <si>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</si>
  <si>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</si>
  <si>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</si>
  <si>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</si>
  <si>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</si>
  <si>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</si>
  <si>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</si>
  <si>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</si>
  <si>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</si>
  <si>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</si>
  <si>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</si>
  <si>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</si>
  <si>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</si>
  <si>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</si>
  <si>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</si>
  <si>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</si>
  <si>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</si>
  <si>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</si>
  <si>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</si>
  <si>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</si>
  <si>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</si>
  <si>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</si>
  <si>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</si>
  <si>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</si>
  <si>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</si>
  <si>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</si>
  <si>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</si>
  <si>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</si>
  <si>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</si>
  <si>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</si>
  <si>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</si>
  <si>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</si>
  <si>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</si>
  <si>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</si>
  <si>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</si>
  <si>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</si>
  <si>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</si>
  <si>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</si>
  <si>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</si>
  <si>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</si>
  <si>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</si>
  <si>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</si>
  <si>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</si>
  <si>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</si>
  <si>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</si>
  <si>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</si>
  <si>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</si>
  <si>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</si>
  <si>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</si>
  <si>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</si>
  <si>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</si>
  <si>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</si>
  <si>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</si>
  <si>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</si>
  <si>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</si>
  <si>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</si>
  <si>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</si>
  <si>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</si>
  <si>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</si>
  <si>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</si>
  <si>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</si>
  <si>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</si>
  <si>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</si>
  <si>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</si>
  <si>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</si>
  <si>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</si>
  <si>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tsimon12646663</t>
  </si>
  <si>
    <t>mahealthforkids</t>
  </si>
  <si>
    <t>biggayicecream</t>
  </si>
  <si>
    <t>thegivingpledge</t>
  </si>
  <si>
    <t>ebasilion</t>
  </si>
  <si>
    <t>suzyquzey</t>
  </si>
  <si>
    <t>Mentions</t>
  </si>
  <si>
    <t>Replies to</t>
  </si>
  <si>
    <t>Was just reading about @TheGivingPledge. My first thought “Man I don’t need millions. If they wanna send me 2 cans of Similac Alimentum a week for 6 months... that would do” _xD83D__xDE02__xD83D__xDE02_ #everyMother in town with a formula allergy baby _xD83E__xDD23__xD83E__xDD23_ the struggle</t>
  </si>
  <si>
    <t>@ebasilion Thatâ€™s true,of course. But you directed the question about limiting our attention to the care of the mental health of American-born children.Many of us who are mothers AND child health specialists go to work every day to care for #EveryonesChild. I trained to help #EveryMother.1/</t>
  </si>
  <si>
    <t>@SuzyQuzey She is the everymother</t>
  </si>
  <si>
    <t>everymother</t>
  </si>
  <si>
    <t>everyoneschild everymother</t>
  </si>
  <si>
    <t>http://pbs.twimg.com/profile_images/1125500068889538560/3uXEGNwd_normal.jpg</t>
  </si>
  <si>
    <t>http://pbs.twimg.com/profile_images/1063796751549624320/8pKZ9rsh_normal.jpg</t>
  </si>
  <si>
    <t>http://pbs.twimg.com/profile_images/1079893487489822721/A9MqRsIp_normal.jpg</t>
  </si>
  <si>
    <t>https://twitter.com/#!/tsimon12646663/status/1133570237146832897</t>
  </si>
  <si>
    <t>https://twitter.com/#!/mahealthforkids/status/1136230337686790144</t>
  </si>
  <si>
    <t>https://twitter.com/#!/biggayicecream/status/1137752518644117505</t>
  </si>
  <si>
    <t>1133570237146832897</t>
  </si>
  <si>
    <t>1136230337686790144</t>
  </si>
  <si>
    <t>1137752518644117505</t>
  </si>
  <si>
    <t>1136120169582006273</t>
  </si>
  <si>
    <t>1137725525030526976</t>
  </si>
  <si>
    <t/>
  </si>
  <si>
    <t>1393563984</t>
  </si>
  <si>
    <t>229984887</t>
  </si>
  <si>
    <t>en</t>
  </si>
  <si>
    <t>Twitter for iPhone</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</si>
  <si>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</si>
  <si>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</si>
  <si>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</si>
  <si>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</si>
  <si>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</si>
  <si>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</si>
  <si>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</si>
  <si>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</si>
  <si>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</si>
  <si>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</si>
  <si>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</si>
  <si>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</si>
  <si>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</si>
  <si>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</si>
  <si>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</si>
  <si>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</si>
  <si>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</si>
  <si>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</si>
  <si>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</si>
  <si>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</si>
  <si>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</si>
  <si>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TWS</t>
  </si>
  <si>
    <t>TheGivingPledge</t>
  </si>
  <si>
    <t>Mary Beth Miotto MD MPH</t>
  </si>
  <si>
    <t>Eva Basilion</t>
  </si>
  <si>
    <t>Big Gay Ice Cream</t>
  </si>
  <si>
    <t>Suzy Q _xD83C__xDF80_</t>
  </si>
  <si>
    <t>here for the hot tea ☕️</t>
  </si>
  <si>
    <t>Unofficial updates on the giving pledge &amp; its implications for #philanthropy. Unashamedly pro giving pledge &amp; other #giving movements. Tweets by @wesrpatterson</t>
  </si>
  <si>
    <t>Pediatrician &amp; public health advocate. Save lives 1 at a time AND millions at a time. Opinions are my own.#Tweetiatrician #PutKids1st #VaccinesSaveLives</t>
  </si>
  <si>
    <t>Global health researcher. Co-author of Empathy Deficit Disorder. Pro-choice. Believes that 3rd trimester abortion is definitely murder. Opinions mine.</t>
  </si>
  <si>
    <t>NYC: EV, WV, SSSP. Philly: Center City. See website for hours/info. To find our pints go to site then click "where to buy." RT by Duran Duran 3/30/18</t>
  </si>
  <si>
    <t>ginger in a brunette/blonde world she/her     PayPal sumarel@gmail.com</t>
  </si>
  <si>
    <t>United States</t>
  </si>
  <si>
    <t>Massachusetts, USA</t>
  </si>
  <si>
    <t>Cleveland, OH</t>
  </si>
  <si>
    <t>st augustine, fl</t>
  </si>
  <si>
    <t>http://t.co/UfSFUUgwyg</t>
  </si>
  <si>
    <t>https://t.co/WZddr65lXP</t>
  </si>
  <si>
    <t>https://t.co/1Fj3cJHc8a</t>
  </si>
  <si>
    <t>https://pbs.twimg.com/profile_banners/857589911511281664/1542463593</t>
  </si>
  <si>
    <t>https://pbs.twimg.com/profile_banners/34654972/1555128432</t>
  </si>
  <si>
    <t>http://abs.twimg.com/images/themes/theme1/bg.png</t>
  </si>
  <si>
    <t>http://abs.twimg.com/images/themes/theme12/bg.gif</t>
  </si>
  <si>
    <t>http://pbs.twimg.com/profile_images/2649114687/fc8ae2aee10d4e78c9443e2325d87135_normal.jpeg</t>
  </si>
  <si>
    <t>http://pbs.twimg.com/profile_images/1083797601495977985/CTwixNYz_normal.jpg</t>
  </si>
  <si>
    <t>http://pbs.twimg.com/profile_images/1119745145950355456/H73y9NVT_normal.jpg</t>
  </si>
  <si>
    <t>Open Twitter Page for This Person</t>
  </si>
  <si>
    <t>https://twitter.com/tsimon12646663</t>
  </si>
  <si>
    <t>https://twitter.com/thegivingpledge</t>
  </si>
  <si>
    <t>https://twitter.com/mahealthforkids</t>
  </si>
  <si>
    <t>https://twitter.com/ebasilion</t>
  </si>
  <si>
    <t>https://twitter.com/biggayicecream</t>
  </si>
  <si>
    <t>https://twitter.com/suzyquzey</t>
  </si>
  <si>
    <t>tsimon12646663
Was just reading about @TheGivingPledge.
My first thought “Man I don’t need
millions. If they wanna send me
2 cans of Similac Alimentum a week
for 6 months... that would do”
_xD83D__xDE02__xD83D__xDE02_ #everyMother in town with
a formula allergy baby _xD83E__xDD23__xD83E__xDD23_ the
struggle</t>
  </si>
  <si>
    <t xml:space="preserve">thegivingpledge
</t>
  </si>
  <si>
    <t>mahealthforkids
@ebasilion Thatâ€™s true,of course.
But you directed the question about
limiting our attention to the care
of the mental health of American-born
children.Many of us who are mothers
AND child health specialists go
to work every day to care for #EveryonesChild.
I trained to help #EveryMother.1/</t>
  </si>
  <si>
    <t xml:space="preserve">ebasilion
</t>
  </si>
  <si>
    <t>biggayicecream
@SuzyQuzey She is the everymother</t>
  </si>
  <si>
    <t xml:space="preserve">suzyquzey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</si>
  <si>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</si>
  <si>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</si>
  <si>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</si>
  <si>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</si>
  <si>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</si>
  <si>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</si>
  <si>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</si>
  <si>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t>
  </si>
  <si>
    <t>Workbook Settings 5</t>
  </si>
  <si>
    <t>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t>
  </si>
  <si>
    <t>Workbook Settings 6</t>
  </si>
  <si>
    <t>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t>
  </si>
  <si>
    <t>Workbook Settings 7</t>
  </si>
  <si>
    <t>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t>
  </si>
  <si>
    <t>Workbook Settings 8</t>
  </si>
  <si>
    <t>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t>
  </si>
  <si>
    <t>Workbook Settings 9</t>
  </si>
  <si>
    <t>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t>
  </si>
  <si>
    <t>Workbook Settings 10</t>
  </si>
  <si>
    <t xml:space="preserv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
  </si>
  <si>
    <t>Workbook Settings 11</t>
  </si>
  <si>
    <t>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t>
  </si>
  <si>
    <t>Workbook Settings 12</t>
  </si>
  <si>
    <t>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
  </si>
  <si>
    <t>Workbook Settings 13</t>
  </si>
  <si>
    <t>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t>
  </si>
  <si>
    <t>Workbook Settings 14</t>
  </si>
  <si>
    <t>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t>
  </si>
  <si>
    <t>Workbook Settings 15</t>
  </si>
  <si>
    <t>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t>
  </si>
  <si>
    <t>Workbook Settings 16</t>
  </si>
  <si>
    <t>y wrought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t>
  </si>
  <si>
    <t>Workbook Settings 17</t>
  </si>
  <si>
    <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t>
  </si>
  <si>
    <t>Workbook Settings 18</t>
  </si>
  <si>
    <t>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</si>
  <si>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</si>
  <si>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</si>
  <si>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</si>
  <si>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</si>
  <si>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</si>
  <si>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</si>
  <si>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0, 12, 96</t>
  </si>
  <si>
    <t>0, 136, 227</t>
  </si>
  <si>
    <t>0, 100, 50</t>
  </si>
  <si>
    <t>Vertex Group</t>
  </si>
  <si>
    <t>Vertex 1 Group</t>
  </si>
  <si>
    <t>Vertex 2 Group</t>
  </si>
  <si>
    <t>Group 1</t>
  </si>
  <si>
    <t>Group 2</t>
  </si>
  <si>
    <t>Edges</t>
  </si>
  <si>
    <t>Graph Type</t>
  </si>
  <si>
    <t>Number of Edge Types</t>
  </si>
  <si>
    <t>Modularity</t>
  </si>
  <si>
    <t>NodeXL Version</t>
  </si>
  <si>
    <t>1.0.1.413</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</si>
  <si>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</si>
  <si>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</si>
  <si>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</si>
  <si>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</si>
  <si>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</si>
  <si>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</si>
  <si>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</si>
  <si>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</si>
  <si>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</si>
  <si>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</si>
  <si>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</si>
  <si>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</si>
  <si>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</si>
  <si>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</si>
  <si>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</si>
  <si>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everyoneschild</t>
  </si>
  <si>
    <t>Top Hashtags in Tweet in G1</t>
  </si>
  <si>
    <t>Top Hashtags in Tweet in G2</t>
  </si>
  <si>
    <t>Top Hashtags in Tweet in G3</t>
  </si>
  <si>
    <t>Top Hashtags in Tweet</t>
  </si>
  <si>
    <t>Top Words in Tweet in Entire Graph</t>
  </si>
  <si>
    <t>Words in Sentiment List#1: Positive</t>
  </si>
  <si>
    <t>Words in Sentiment List#2: Negative</t>
  </si>
  <si>
    <t>Words in Sentiment List#3: Angry/Violent</t>
  </si>
  <si>
    <t>Non-categorized Words</t>
  </si>
  <si>
    <t>Total Words</t>
  </si>
  <si>
    <t>care</t>
  </si>
  <si>
    <t>health</t>
  </si>
  <si>
    <t>#everymother</t>
  </si>
  <si>
    <t>Top Words in Tweet in G1</t>
  </si>
  <si>
    <t>Top Words in Tweet in G2</t>
  </si>
  <si>
    <t>Top Words in Tweet in G3</t>
  </si>
  <si>
    <t>Top Words in Tweet</t>
  </si>
  <si>
    <t>care health</t>
  </si>
  <si>
    <t>Top Word Pairs in Tweet in Entire Graph</t>
  </si>
  <si>
    <t>Top Word Pairs in Tweet in G1</t>
  </si>
  <si>
    <t>Top Word Pairs in Tweet in G2</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</si>
  <si>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</si>
  <si>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</si>
  <si>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</si>
  <si>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</si>
  <si>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</si>
  <si>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</si>
  <si>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</si>
  <si>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</si>
  <si>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</si>
  <si>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</si>
  <si>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</si>
  <si>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</si>
  <si>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</si>
  <si>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</si>
  <si>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</si>
  <si>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</si>
  <si>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</si>
  <si>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suzyquzey biggayicecream</t>
  </si>
  <si>
    <t>mahealthforkids ebasilion</t>
  </si>
  <si>
    <t>thegivingpledge tsimon12646663</t>
  </si>
  <si>
    <t>Top URLs in Tweet by Count</t>
  </si>
  <si>
    <t>Top URLs in Tweet by Salience</t>
  </si>
  <si>
    <t>Top Domains in Tweet by Count</t>
  </si>
  <si>
    <t>Top Domains in Tweet by Salience</t>
  </si>
  <si>
    <t>Top Hashtags in Tweet by Count</t>
  </si>
  <si>
    <t>Top Hashtags in Tweet by Salience</t>
  </si>
  <si>
    <t>Top Words in Tweet by Count</t>
  </si>
  <si>
    <t>reading thegivingpledge first thought man don t need millions wanna</t>
  </si>
  <si>
    <t>care health ebasilion thatâ s true course directed question limiting</t>
  </si>
  <si>
    <t>Top Words in Tweet by Salience</t>
  </si>
  <si>
    <t>Top Word Pairs in Tweet by Count</t>
  </si>
  <si>
    <t>reading,thegivingpledge  thegivingpledge,first  first,thought  thought,man  man,don  don,t  t,need  need,millions  millions,wanna  wanna,send</t>
  </si>
  <si>
    <t>ebasilion,thatâ  thatâ,s  s,true  true,course  course,directed  directed,question  question,limiting  limiting,attention  attention,care  care,mental</t>
  </si>
  <si>
    <t>suzyquzey,everymother</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</si>
  <si>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</si>
  <si>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</si>
  <si>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</si>
  <si>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</si>
  <si>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</si>
  <si>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</si>
  <si>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</si>
  <si>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</si>
  <si>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</si>
  <si>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</si>
  <si>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</si>
  <si>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</si>
  <si>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</si>
  <si>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</si>
  <si>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</si>
  <si>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</si>
  <si>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</si>
  <si>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</si>
  <si>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</si>
  <si>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</si>
  <si>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</si>
  <si>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</si>
  <si>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</si>
  <si>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</si>
  <si>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</si>
  <si>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</si>
  <si>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</si>
  <si>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</si>
  <si>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</si>
  <si>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</si>
  <si>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</si>
  <si>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Grand Total</t>
  </si>
  <si>
    <t>128, 128, 128</t>
  </si>
  <si>
    <t>G2: care health</t>
  </si>
  <si>
    <t>Autofill Workbook Results</t>
  </si>
  <si>
    <t>Edge Weight▓1▓1▓0▓True▓Gray▓Red▓▓Edge Weight▓1▓1▓0▓3▓10▓False▓Edge Weight▓1▓1▓0▓35▓12▓False▓▓0▓0▓0▓True▓Black▓Black▓▓Followers▓3▓3985▓0▓162▓1000▓False▓▓0▓0▓0▓0▓0▓False▓▓0▓0▓0▓0▓0▓False▓▓0▓0▓0▓0▓0▓False</t>
  </si>
  <si>
    <t>GraphSource░GraphServerTwitterSearch▓GraphTerm░everymother▓ImportDescription░The graph represents a network of 6 Twitter users whose tweets in the requested range contained "everymother", or who were replied to or mentioned in those tweets.  The network was obtained from the NodeXL Graph Server on Tuesday, 11 June 2019 at 07:55 UTC.
The requested start date was Monday, 10 June 2019 at 00:01 UTC and the maximum number of days (going backward) was 14.
The maximum number of tweets collected was 5,000.
The tweets in the network were tweeted over the 11-day, 12-hour, 58-minute period from Wednesday, 29 May 2019 at 03:06 UTC to Sunday, 09 June 2019 at 16:05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</si>
</sst>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3"/>
      <tableStyleElement type="headerRow" dxfId="382"/>
    </tableStyle>
    <tableStyle name="NodeXL Table" pivot="0" count="1">
      <tableStyleElement type="headerRow" dxfId="38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190634"/>
        <c:axId val="28715707"/>
      </c:barChart>
      <c:catAx>
        <c:axId val="319063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715707"/>
        <c:crosses val="autoZero"/>
        <c:auto val="1"/>
        <c:lblOffset val="100"/>
        <c:noMultiLvlLbl val="0"/>
      </c:catAx>
      <c:valAx>
        <c:axId val="287157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06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everymother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5/29/2019 3:06</c:v>
                </c:pt>
                <c:pt idx="1">
                  <c:v>6/5/2019 11:16</c:v>
                </c:pt>
                <c:pt idx="2">
                  <c:v>6/9/2019 16:05</c:v>
                </c:pt>
              </c:strCache>
            </c:strRef>
          </c:cat>
          <c:val>
            <c:numRef>
              <c:f>'Time Series'!$B$26:$B$29</c:f>
              <c:numCache>
                <c:formatCode>General</c:formatCode>
                <c:ptCount val="3"/>
                <c:pt idx="0">
                  <c:v>1</c:v>
                </c:pt>
                <c:pt idx="1">
                  <c:v>1</c:v>
                </c:pt>
                <c:pt idx="2">
                  <c:v>1</c:v>
                </c:pt>
              </c:numCache>
            </c:numRef>
          </c:val>
        </c:ser>
        <c:axId val="31943268"/>
        <c:axId val="19053957"/>
      </c:barChart>
      <c:catAx>
        <c:axId val="31943268"/>
        <c:scaling>
          <c:orientation val="minMax"/>
        </c:scaling>
        <c:axPos val="b"/>
        <c:delete val="0"/>
        <c:numFmt formatCode="General" sourceLinked="1"/>
        <c:majorTickMark val="out"/>
        <c:minorTickMark val="none"/>
        <c:tickLblPos val="nextTo"/>
        <c:crossAx val="19053957"/>
        <c:crosses val="autoZero"/>
        <c:auto val="1"/>
        <c:lblOffset val="100"/>
        <c:noMultiLvlLbl val="0"/>
      </c:catAx>
      <c:valAx>
        <c:axId val="19053957"/>
        <c:scaling>
          <c:orientation val="minMax"/>
        </c:scaling>
        <c:axPos val="l"/>
        <c:majorGridlines/>
        <c:delete val="0"/>
        <c:numFmt formatCode="General" sourceLinked="1"/>
        <c:majorTickMark val="out"/>
        <c:minorTickMark val="none"/>
        <c:tickLblPos val="nextTo"/>
        <c:crossAx val="3194326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7114772"/>
        <c:axId val="44270901"/>
      </c:barChart>
      <c:catAx>
        <c:axId val="5711477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270901"/>
        <c:crosses val="autoZero"/>
        <c:auto val="1"/>
        <c:lblOffset val="100"/>
        <c:noMultiLvlLbl val="0"/>
      </c:catAx>
      <c:valAx>
        <c:axId val="442709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1147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2893790"/>
        <c:axId val="29173199"/>
      </c:barChart>
      <c:catAx>
        <c:axId val="6289379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173199"/>
        <c:crosses val="autoZero"/>
        <c:auto val="1"/>
        <c:lblOffset val="100"/>
        <c:noMultiLvlLbl val="0"/>
      </c:catAx>
      <c:valAx>
        <c:axId val="291731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937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1232200"/>
        <c:axId val="14218889"/>
      </c:barChart>
      <c:catAx>
        <c:axId val="612322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218889"/>
        <c:crosses val="autoZero"/>
        <c:auto val="1"/>
        <c:lblOffset val="100"/>
        <c:noMultiLvlLbl val="0"/>
      </c:catAx>
      <c:valAx>
        <c:axId val="14218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322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0861138"/>
        <c:axId val="10879331"/>
      </c:barChart>
      <c:catAx>
        <c:axId val="6086113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879331"/>
        <c:crosses val="autoZero"/>
        <c:auto val="1"/>
        <c:lblOffset val="100"/>
        <c:noMultiLvlLbl val="0"/>
      </c:catAx>
      <c:valAx>
        <c:axId val="108793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8611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0805116"/>
        <c:axId val="8810589"/>
      </c:barChart>
      <c:catAx>
        <c:axId val="3080511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810589"/>
        <c:crosses val="autoZero"/>
        <c:auto val="1"/>
        <c:lblOffset val="100"/>
        <c:noMultiLvlLbl val="0"/>
      </c:catAx>
      <c:valAx>
        <c:axId val="88105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8051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2186438"/>
        <c:axId val="42569079"/>
      </c:barChart>
      <c:catAx>
        <c:axId val="1218643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569079"/>
        <c:crosses val="autoZero"/>
        <c:auto val="1"/>
        <c:lblOffset val="100"/>
        <c:noMultiLvlLbl val="0"/>
      </c:catAx>
      <c:valAx>
        <c:axId val="425690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1864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7577392"/>
        <c:axId val="25543345"/>
      </c:barChart>
      <c:catAx>
        <c:axId val="4757739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543345"/>
        <c:crosses val="autoZero"/>
        <c:auto val="1"/>
        <c:lblOffset val="100"/>
        <c:noMultiLvlLbl val="0"/>
      </c:catAx>
      <c:valAx>
        <c:axId val="255433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773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8563514"/>
        <c:axId val="55745035"/>
      </c:barChart>
      <c:catAx>
        <c:axId val="28563514"/>
        <c:scaling>
          <c:orientation val="minMax"/>
        </c:scaling>
        <c:axPos val="b"/>
        <c:delete val="1"/>
        <c:majorTickMark val="out"/>
        <c:minorTickMark val="none"/>
        <c:tickLblPos val="none"/>
        <c:crossAx val="55745035"/>
        <c:crosses val="autoZero"/>
        <c:auto val="1"/>
        <c:lblOffset val="100"/>
        <c:noMultiLvlLbl val="0"/>
      </c:catAx>
      <c:valAx>
        <c:axId val="55745035"/>
        <c:scaling>
          <c:orientation val="minMax"/>
        </c:scaling>
        <c:axPos val="l"/>
        <c:delete val="1"/>
        <c:majorTickMark val="out"/>
        <c:minorTickMark val="none"/>
        <c:tickLblPos val="none"/>
        <c:crossAx val="2856351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 refreshedBy="Marc Smith" refreshedVersion="5">
  <cacheSource type="worksheet">
    <worksheetSource ref="A2:BL5"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Blank="1" containsMixedTypes="0" count="3">
        <s v="everymother"/>
        <s v="everyoneschild everymother"/>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3">
        <d v="2019-05-29T03:06:19.000"/>
        <d v="2019-06-05T11:16:37.000"/>
        <d v="2019-06-09T16:05:13.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
  <r>
    <s v="tsimon12646663"/>
    <s v="thegivingpledge"/>
    <m/>
    <m/>
    <m/>
    <m/>
    <m/>
    <m/>
    <m/>
    <m/>
    <s v="No"/>
    <n v="3"/>
    <m/>
    <m/>
    <x v="0"/>
    <d v="2019-05-29T03:06:19.000"/>
    <s v="Was just reading about @TheGivingPledge. My first thought “Man I don’t need millions. If they wanna send me 2 cans of Similac Alimentum a week for 6 months... that would do” 😂😂 #everyMother in town with a formula allergy baby 🤣🤣 the struggle"/>
    <m/>
    <m/>
    <x v="0"/>
    <m/>
    <s v="http://pbs.twimg.com/profile_images/1125500068889538560/3uXEGNwd_normal.jpg"/>
    <x v="0"/>
    <s v="https://twitter.com/#!/tsimon12646663/status/1133570237146832897"/>
    <m/>
    <m/>
    <s v="1133570237146832897"/>
    <m/>
    <b v="0"/>
    <n v="0"/>
    <s v=""/>
    <b v="0"/>
    <s v="en"/>
    <m/>
    <s v=""/>
    <b v="0"/>
    <n v="0"/>
    <s v=""/>
    <s v="Twitter for iPhone"/>
    <b v="0"/>
    <s v="1133570237146832897"/>
    <s v="Tweet"/>
    <n v="0"/>
    <n v="0"/>
    <m/>
    <m/>
    <m/>
    <m/>
    <m/>
    <m/>
    <m/>
    <m/>
    <n v="1"/>
    <s v="3"/>
    <s v="3"/>
    <n v="0"/>
    <n v="0"/>
    <n v="2"/>
    <n v="4.761904761904762"/>
    <n v="0"/>
    <n v="0"/>
    <n v="40"/>
    <n v="95.23809523809524"/>
    <n v="42"/>
  </r>
  <r>
    <s v="mahealthforkids"/>
    <s v="ebasilion"/>
    <m/>
    <m/>
    <m/>
    <m/>
    <m/>
    <m/>
    <m/>
    <m/>
    <s v="No"/>
    <n v="4"/>
    <m/>
    <m/>
    <x v="1"/>
    <d v="2019-06-05T11:16:37.000"/>
    <s v="@ebasilion Thatâ€™s true,of course. But you directed the question about limiting our attention to the care of the mental health of American-born children.Many of us who are mothers AND child health specialists go to work every day to care for #EveryonesChild. I trained to help #EveryMother.1/"/>
    <m/>
    <m/>
    <x v="1"/>
    <m/>
    <s v="http://pbs.twimg.com/profile_images/1063796751549624320/8pKZ9rsh_normal.jpg"/>
    <x v="1"/>
    <s v="https://twitter.com/#!/mahealthforkids/status/1136230337686790144"/>
    <m/>
    <m/>
    <s v="1136230337686790144"/>
    <s v="1136120169582006273"/>
    <b v="0"/>
    <n v="0"/>
    <s v="1393563984"/>
    <b v="0"/>
    <s v="en"/>
    <m/>
    <s v=""/>
    <b v="0"/>
    <n v="0"/>
    <s v=""/>
    <s v="Twitter for iPhone"/>
    <b v="0"/>
    <s v="1136120169582006273"/>
    <s v="Tweet"/>
    <n v="0"/>
    <n v="0"/>
    <m/>
    <m/>
    <m/>
    <m/>
    <m/>
    <m/>
    <m/>
    <m/>
    <n v="1"/>
    <s v="2"/>
    <s v="2"/>
    <n v="1"/>
    <n v="1.9607843137254901"/>
    <n v="0"/>
    <n v="0"/>
    <n v="0"/>
    <n v="0"/>
    <n v="50"/>
    <n v="98.03921568627452"/>
    <n v="51"/>
  </r>
  <r>
    <s v="biggayicecream"/>
    <s v="suzyquzey"/>
    <m/>
    <m/>
    <m/>
    <m/>
    <m/>
    <m/>
    <m/>
    <m/>
    <s v="No"/>
    <n v="5"/>
    <m/>
    <m/>
    <x v="1"/>
    <d v="2019-06-09T16:05:13.000"/>
    <s v="@SuzyQuzey She is the everymother"/>
    <m/>
    <m/>
    <x v="2"/>
    <m/>
    <s v="http://pbs.twimg.com/profile_images/1079893487489822721/A9MqRsIp_normal.jpg"/>
    <x v="2"/>
    <s v="https://twitter.com/#!/biggayicecream/status/1137752518644117505"/>
    <m/>
    <m/>
    <s v="1137752518644117505"/>
    <s v="1137725525030526976"/>
    <b v="0"/>
    <n v="1"/>
    <s v="229984887"/>
    <b v="0"/>
    <s v="en"/>
    <m/>
    <s v=""/>
    <b v="0"/>
    <n v="0"/>
    <s v=""/>
    <s v="Twitter for iPhone"/>
    <b v="0"/>
    <s v="1137725525030526976"/>
    <s v="Tweet"/>
    <n v="0"/>
    <n v="0"/>
    <m/>
    <m/>
    <m/>
    <m/>
    <m/>
    <m/>
    <m/>
    <m/>
    <n v="1"/>
    <s v="1"/>
    <s v="1"/>
    <n v="0"/>
    <n v="0"/>
    <n v="0"/>
    <n v="0"/>
    <n v="0"/>
    <n v="0"/>
    <n v="5"/>
    <n v="100"/>
    <n v="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3">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5" totalsRowShown="0" headerRowDxfId="380" dataDxfId="379">
  <autoFilter ref="A2:BL5"/>
  <tableColumns count="64">
    <tableColumn id="1" name="Vertex 1" dataDxfId="378"/>
    <tableColumn id="2" name="Vertex 2" dataDxfId="377"/>
    <tableColumn id="3" name="Color" dataDxfId="376"/>
    <tableColumn id="4" name="Width" dataDxfId="375"/>
    <tableColumn id="11" name="Style" dataDxfId="374"/>
    <tableColumn id="5" name="Opacity" dataDxfId="373"/>
    <tableColumn id="6" name="Visibility" dataDxfId="372"/>
    <tableColumn id="10" name="Label" dataDxfId="371"/>
    <tableColumn id="12" name="Label Text Color" dataDxfId="370"/>
    <tableColumn id="13" name="Label Font Size" dataDxfId="369"/>
    <tableColumn id="14" name="Reciprocated?" dataDxfId="94"/>
    <tableColumn id="7" name="ID" dataDxfId="368"/>
    <tableColumn id="9" name="Dynamic Filter" dataDxfId="367"/>
    <tableColumn id="8" name="Add Your Own Columns Here" dataDxfId="366"/>
    <tableColumn id="15" name="Relationship" dataDxfId="365"/>
    <tableColumn id="16" name="Relationship Date (UTC)" dataDxfId="364"/>
    <tableColumn id="17" name="Tweet" dataDxfId="363"/>
    <tableColumn id="18" name="URLs in Tweet" dataDxfId="362"/>
    <tableColumn id="19" name="Domains in Tweet" dataDxfId="361"/>
    <tableColumn id="20" name="Hashtags in Tweet" dataDxfId="360"/>
    <tableColumn id="21" name="Media in Tweet" dataDxfId="359"/>
    <tableColumn id="22" name="Tweet Image File" dataDxfId="358"/>
    <tableColumn id="23" name="Tweet Date (UTC)" dataDxfId="357"/>
    <tableColumn id="24" name="Twitter Page for Tweet" dataDxfId="356"/>
    <tableColumn id="25" name="Latitude" dataDxfId="355"/>
    <tableColumn id="26" name="Longitude" dataDxfId="354"/>
    <tableColumn id="27" name="Imported ID" dataDxfId="353"/>
    <tableColumn id="28" name="In-Reply-To Tweet ID" dataDxfId="352"/>
    <tableColumn id="29" name="Favorited" dataDxfId="351"/>
    <tableColumn id="30" name="Favorite Count" dataDxfId="350"/>
    <tableColumn id="31" name="In-Reply-To User ID" dataDxfId="349"/>
    <tableColumn id="32" name="Is Quote Status" dataDxfId="348"/>
    <tableColumn id="33" name="Language" dataDxfId="347"/>
    <tableColumn id="34" name="Possibly Sensitive" dataDxfId="346"/>
    <tableColumn id="35" name="Quoted Status ID" dataDxfId="345"/>
    <tableColumn id="36" name="Retweeted" dataDxfId="344"/>
    <tableColumn id="37" name="Retweet Count" dataDxfId="343"/>
    <tableColumn id="38" name="Retweet ID" dataDxfId="342"/>
    <tableColumn id="39" name="Source" dataDxfId="341"/>
    <tableColumn id="40" name="Truncated" dataDxfId="340"/>
    <tableColumn id="41" name="Unified Twitter ID" dataDxfId="339"/>
    <tableColumn id="42" name="Imported Tweet Type" dataDxfId="338"/>
    <tableColumn id="43" name="Added By Extended Analysis" dataDxfId="337"/>
    <tableColumn id="44" name="Corrected By Extended Analysis" dataDxfId="336"/>
    <tableColumn id="45" name="Place Bounding Box" dataDxfId="335"/>
    <tableColumn id="46" name="Place Country" dataDxfId="334"/>
    <tableColumn id="47" name="Place Country Code" dataDxfId="333"/>
    <tableColumn id="48" name="Place Full Name" dataDxfId="332"/>
    <tableColumn id="49" name="Place ID" dataDxfId="331"/>
    <tableColumn id="50" name="Place Name" dataDxfId="330"/>
    <tableColumn id="51" name="Place Type" dataDxfId="329"/>
    <tableColumn id="52" name="Place URL" dataDxfId="328"/>
    <tableColumn id="53" name="Edge Weight"/>
    <tableColumn id="54" name="Vertex 1 Group" dataDxfId="251">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5" totalsRowShown="0" headerRowDxfId="250" dataDxfId="249">
  <autoFilter ref="A2:C5"/>
  <tableColumns count="3">
    <tableColumn id="1" name="Group 1" dataDxfId="248"/>
    <tableColumn id="2" name="Group 2" dataDxfId="247"/>
    <tableColumn id="3" name="Edges" dataDxfId="246"/>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H2" totalsRowShown="0" headerRowDxfId="243" dataDxfId="242">
  <autoFilter ref="A1:H2"/>
  <tableColumns count="8">
    <tableColumn id="1" name="Top URLs in Tweet in Entire Graph" dataDxfId="241"/>
    <tableColumn id="2" name="Entire Graph Count" dataDxfId="240"/>
    <tableColumn id="3" name="Top URLs in Tweet in G1" dataDxfId="239"/>
    <tableColumn id="4" name="G1 Count" dataDxfId="238"/>
    <tableColumn id="5" name="Top URLs in Tweet in G2" dataDxfId="237"/>
    <tableColumn id="6" name="G2 Count" dataDxfId="236"/>
    <tableColumn id="7" name="Top URLs in Tweet in G3" dataDxfId="235"/>
    <tableColumn id="8" name="G3 Count" dataDxfId="234"/>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4:H5" totalsRowShown="0" headerRowDxfId="233" dataDxfId="232">
  <autoFilter ref="A4:H5"/>
  <tableColumns count="8">
    <tableColumn id="1" name="Top Domains in Tweet in Entire Graph" dataDxfId="231"/>
    <tableColumn id="2" name="Entire Graph Count" dataDxfId="230"/>
    <tableColumn id="3" name="Top Domains in Tweet in G1" dataDxfId="229"/>
    <tableColumn id="4" name="G1 Count" dataDxfId="228"/>
    <tableColumn id="5" name="Top Domains in Tweet in G2" dataDxfId="227"/>
    <tableColumn id="6" name="G2 Count" dataDxfId="226"/>
    <tableColumn id="7" name="Top Domains in Tweet in G3" dataDxfId="225"/>
    <tableColumn id="8" name="G3 Count" dataDxfId="224"/>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7:H9" totalsRowShown="0" headerRowDxfId="223" dataDxfId="222">
  <autoFilter ref="A7:H9"/>
  <tableColumns count="8">
    <tableColumn id="1" name="Top Hashtags in Tweet in Entire Graph" dataDxfId="221"/>
    <tableColumn id="2" name="Entire Graph Count" dataDxfId="220"/>
    <tableColumn id="3" name="Top Hashtags in Tweet in G1" dataDxfId="219"/>
    <tableColumn id="4" name="G1 Count" dataDxfId="218"/>
    <tableColumn id="5" name="Top Hashtags in Tweet in G2" dataDxfId="217"/>
    <tableColumn id="6" name="G2 Count" dataDxfId="216"/>
    <tableColumn id="7" name="Top Hashtags in Tweet in G3" dataDxfId="215"/>
    <tableColumn id="8" name="G3 Count" dataDxfId="21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12:H20" totalsRowShown="0" headerRowDxfId="212" dataDxfId="211">
  <autoFilter ref="A12:H20"/>
  <tableColumns count="8">
    <tableColumn id="1" name="Top Words in Tweet in Entire Graph" dataDxfId="210"/>
    <tableColumn id="2" name="Entire Graph Count" dataDxfId="209"/>
    <tableColumn id="3" name="Top Words in Tweet in G1" dataDxfId="208"/>
    <tableColumn id="4" name="G1 Count" dataDxfId="207"/>
    <tableColumn id="5" name="Top Words in Tweet in G2" dataDxfId="206"/>
    <tableColumn id="6" name="G2 Count" dataDxfId="205"/>
    <tableColumn id="7" name="Top Words in Tweet in G3" dataDxfId="204"/>
    <tableColumn id="8" name="G3 Count" dataDxfId="203"/>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23:H24" totalsRowShown="0" headerRowDxfId="201" dataDxfId="200">
  <autoFilter ref="A23:H24"/>
  <tableColumns count="8">
    <tableColumn id="1" name="Top Word Pairs in Tweet in Entire Graph" dataDxfId="199"/>
    <tableColumn id="2" name="Entire Graph Count" dataDxfId="198"/>
    <tableColumn id="3" name="Top Word Pairs in Tweet in G1" dataDxfId="197"/>
    <tableColumn id="4" name="G1 Count" dataDxfId="196"/>
    <tableColumn id="5" name="Top Word Pairs in Tweet in G2" dataDxfId="195"/>
    <tableColumn id="6" name="G2 Count" dataDxfId="194"/>
    <tableColumn id="7" name="Top Word Pairs in Tweet in G3" dataDxfId="193"/>
    <tableColumn id="8" name="G3 Count" dataDxfId="192"/>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26:H28" totalsRowShown="0" headerRowDxfId="190" dataDxfId="189">
  <autoFilter ref="A26:H28"/>
  <tableColumns count="8">
    <tableColumn id="1" name="Top Replied-To in Entire Graph" dataDxfId="188"/>
    <tableColumn id="2" name="Entire Graph Count" dataDxfId="184"/>
    <tableColumn id="3" name="Top Replied-To in G1" dataDxfId="183"/>
    <tableColumn id="4" name="G1 Count" dataDxfId="180"/>
    <tableColumn id="5" name="Top Replied-To in G2" dataDxfId="179"/>
    <tableColumn id="6" name="G2 Count" dataDxfId="176"/>
    <tableColumn id="7" name="Top Replied-To in G3" dataDxfId="175"/>
    <tableColumn id="8" name="G3 Count" dataDxfId="174"/>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31:H32" totalsRowShown="0" headerRowDxfId="187" dataDxfId="186">
  <autoFilter ref="A31:H32"/>
  <tableColumns count="8">
    <tableColumn id="1" name="Top Mentioned in Entire Graph" dataDxfId="185"/>
    <tableColumn id="2" name="Entire Graph Count" dataDxfId="182"/>
    <tableColumn id="3" name="Top Mentioned in G1" dataDxfId="181"/>
    <tableColumn id="4" name="G1 Count" dataDxfId="178"/>
    <tableColumn id="5" name="Top Mentioned in G2" dataDxfId="177"/>
    <tableColumn id="6" name="G2 Count" dataDxfId="173"/>
    <tableColumn id="7" name="Top Mentioned in G3" dataDxfId="172"/>
    <tableColumn id="8" name="G3 Count" dataDxfId="171"/>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35:H41" totalsRowShown="0" headerRowDxfId="168" dataDxfId="167">
  <autoFilter ref="A35:H41"/>
  <tableColumns count="8">
    <tableColumn id="1" name="Top Tweeters in Entire Graph" dataDxfId="166"/>
    <tableColumn id="2" name="Entire Graph Count" dataDxfId="165"/>
    <tableColumn id="3" name="Top Tweeters in G1" dataDxfId="164"/>
    <tableColumn id="4" name="G1 Count" dataDxfId="163"/>
    <tableColumn id="5" name="Top Tweeters in G2" dataDxfId="162"/>
    <tableColumn id="6" name="G2 Count" dataDxfId="161"/>
    <tableColumn id="7" name="Top Tweeters in G3" dataDxfId="160"/>
    <tableColumn id="8" name="G3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8" totalsRowShown="0" headerRowDxfId="327" dataDxfId="326">
  <autoFilter ref="A2:BS8"/>
  <tableColumns count="71">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08"/>
    <tableColumn id="28" name="Dynamic Filter" dataDxfId="307"/>
    <tableColumn id="17" name="Add Your Own Columns Here" dataDxfId="306"/>
    <tableColumn id="30" name="Name" dataDxfId="305"/>
    <tableColumn id="31" name="Followed" dataDxfId="304"/>
    <tableColumn id="32" name="Followers" dataDxfId="303"/>
    <tableColumn id="33" name="Tweets" dataDxfId="302"/>
    <tableColumn id="34" name="Favorites" dataDxfId="301"/>
    <tableColumn id="35" name="Time Zone UTC Offset (Seconds)" dataDxfId="300"/>
    <tableColumn id="36" name="Description" dataDxfId="299"/>
    <tableColumn id="37" name="Location" dataDxfId="298"/>
    <tableColumn id="38" name="Web" dataDxfId="297"/>
    <tableColumn id="39" name="Time Zone" dataDxfId="296"/>
    <tableColumn id="40" name="Joined Twitter Date (UTC)" dataDxfId="295"/>
    <tableColumn id="41" name="Profile Banner Url" dataDxfId="294"/>
    <tableColumn id="42" name="Default Profile" dataDxfId="293"/>
    <tableColumn id="43" name="Default Profile Image" dataDxfId="292"/>
    <tableColumn id="44" name="Geo Enabled" dataDxfId="291"/>
    <tableColumn id="45" name="Language" dataDxfId="290"/>
    <tableColumn id="46" name="Listed Count" dataDxfId="289"/>
    <tableColumn id="47" name="Profile Background Image Url" dataDxfId="288"/>
    <tableColumn id="48" name="Verified" dataDxfId="287"/>
    <tableColumn id="49" name="Custom Menu Item Text" dataDxfId="286"/>
    <tableColumn id="50" name="Custom Menu Item Action" dataDxfId="285"/>
    <tableColumn id="51" name="Tweeted Search Term?" dataDxfId="252"/>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1" totalsRowShown="0" headerRowDxfId="147" dataDxfId="146">
  <autoFilter ref="A1:G11"/>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2" totalsRowShown="0" headerRowDxfId="138" dataDxfId="137">
  <autoFilter ref="A1:L2"/>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5" totalsRowShown="0" headerRowDxfId="64" dataDxfId="63">
  <autoFilter ref="A2:BL5"/>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7" totalsRowShown="0" headerRowDxfId="68" dataDxfId="67">
  <autoFilter ref="A1:B7"/>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84">
  <autoFilter ref="A2:AO5"/>
  <tableColumns count="41">
    <tableColumn id="1" name="Group" dataDxfId="259"/>
    <tableColumn id="2" name="Vertex Color" dataDxfId="258"/>
    <tableColumn id="3" name="Vertex Shape" dataDxfId="256"/>
    <tableColumn id="22" name="Visibility" dataDxfId="257"/>
    <tableColumn id="4" name="Collapsed?"/>
    <tableColumn id="18" name="Label" dataDxfId="283"/>
    <tableColumn id="20" name="Collapsed X"/>
    <tableColumn id="21" name="Collapsed Y"/>
    <tableColumn id="6" name="ID" dataDxfId="282"/>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13"/>
    <tableColumn id="27" name="Top Hashtags in Tweet" dataDxfId="202"/>
    <tableColumn id="28" name="Top Words in Tweet" dataDxfId="191"/>
    <tableColumn id="29" name="Top Word Pairs in Tweet" dataDxfId="170"/>
    <tableColumn id="30" name="Top Replied-To in Tweet" dataDxfId="169"/>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 totalsRowShown="0" headerRowDxfId="281" dataDxfId="280">
  <autoFilter ref="A1:C7"/>
  <tableColumns count="3">
    <tableColumn id="1" name="Group" dataDxfId="255"/>
    <tableColumn id="2" name="Vertex" dataDxfId="254"/>
    <tableColumn id="3" name="Vertex ID" dataDxfId="25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245"/>
    <tableColumn id="2" name="Value" dataDxfId="24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79"/>
    <tableColumn id="2" name="Degree Frequency" dataDxfId="278">
      <calculatedColumnFormula>COUNTIF(Vertices[Degree], "&gt;= " &amp; D2) - COUNTIF(Vertices[Degree], "&gt;=" &amp; D3)</calculatedColumnFormula>
    </tableColumn>
    <tableColumn id="3" name="In-Degree Bin" dataDxfId="277"/>
    <tableColumn id="4" name="In-Degree Frequency" dataDxfId="276">
      <calculatedColumnFormula>COUNTIF(Vertices[In-Degree], "&gt;= " &amp; F2) - COUNTIF(Vertices[In-Degree], "&gt;=" &amp; F3)</calculatedColumnFormula>
    </tableColumn>
    <tableColumn id="5" name="Out-Degree Bin" dataDxfId="275"/>
    <tableColumn id="6" name="Out-Degree Frequency" dataDxfId="274">
      <calculatedColumnFormula>COUNTIF(Vertices[Out-Degree], "&gt;= " &amp; H2) - COUNTIF(Vertices[Out-Degree], "&gt;=" &amp; H3)</calculatedColumnFormula>
    </tableColumn>
    <tableColumn id="7" name="Betweenness Centrality Bin" dataDxfId="273"/>
    <tableColumn id="8" name="Betweenness Centrality Frequency" dataDxfId="272">
      <calculatedColumnFormula>COUNTIF(Vertices[Betweenness Centrality], "&gt;= " &amp; J2) - COUNTIF(Vertices[Betweenness Centrality], "&gt;=" &amp; J3)</calculatedColumnFormula>
    </tableColumn>
    <tableColumn id="9" name="Closeness Centrality Bin" dataDxfId="271"/>
    <tableColumn id="10" name="Closeness Centrality Frequency" dataDxfId="270">
      <calculatedColumnFormula>COUNTIF(Vertices[Closeness Centrality], "&gt;= " &amp; L2) - COUNTIF(Vertices[Closeness Centrality], "&gt;=" &amp; L3)</calculatedColumnFormula>
    </tableColumn>
    <tableColumn id="11" name="Eigenvector Centrality Bin" dataDxfId="269"/>
    <tableColumn id="12" name="Eigenvector Centrality Frequency" dataDxfId="268">
      <calculatedColumnFormula>COUNTIF(Vertices[Eigenvector Centrality], "&gt;= " &amp; N2) - COUNTIF(Vertices[Eigenvector Centrality], "&gt;=" &amp; N3)</calculatedColumnFormula>
    </tableColumn>
    <tableColumn id="18" name="PageRank Bin" dataDxfId="267"/>
    <tableColumn id="17" name="PageRank Frequency" dataDxfId="266">
      <calculatedColumnFormula>COUNTIF(Vertices[Eigenvector Centrality], "&gt;= " &amp; P2) - COUNTIF(Vertices[Eigenvector Centrality], "&gt;=" &amp; P3)</calculatedColumnFormula>
    </tableColumn>
    <tableColumn id="13" name="Clustering Coefficient Bin" dataDxfId="265"/>
    <tableColumn id="14" name="Clustering Coefficient Frequency" dataDxfId="264">
      <calculatedColumnFormula>COUNTIF(Vertices[Clustering Coefficient], "&gt;= " &amp; R2) - COUNTIF(Vertices[Clustering Coefficient], "&gt;=" &amp; R3)</calculatedColumnFormula>
    </tableColumn>
    <tableColumn id="15" name="Dynamic Filter Bin" dataDxfId="263"/>
    <tableColumn id="16" name="Dynamic Filter Frequency" dataDxfId="26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bs.twimg.com/profile_images/1125500068889538560/3uXEGNwd_normal.jpg" TargetMode="External" /><Relationship Id="rId2" Type="http://schemas.openxmlformats.org/officeDocument/2006/relationships/hyperlink" Target="http://pbs.twimg.com/profile_images/1063796751549624320/8pKZ9rsh_normal.jpg" TargetMode="External" /><Relationship Id="rId3" Type="http://schemas.openxmlformats.org/officeDocument/2006/relationships/hyperlink" Target="http://pbs.twimg.com/profile_images/1079893487489822721/A9MqRsIp_normal.jpg" TargetMode="External" /><Relationship Id="rId4" Type="http://schemas.openxmlformats.org/officeDocument/2006/relationships/hyperlink" Target="https://twitter.com/#!/tsimon12646663/status/1133570237146832897" TargetMode="External" /><Relationship Id="rId5" Type="http://schemas.openxmlformats.org/officeDocument/2006/relationships/hyperlink" Target="https://twitter.com/#!/mahealthforkids/status/1136230337686790144" TargetMode="External" /><Relationship Id="rId6" Type="http://schemas.openxmlformats.org/officeDocument/2006/relationships/hyperlink" Target="https://twitter.com/#!/biggayicecream/status/1137752518644117505" TargetMode="External" /><Relationship Id="rId7" Type="http://schemas.openxmlformats.org/officeDocument/2006/relationships/comments" Target="../comments1.xml" /><Relationship Id="rId8" Type="http://schemas.openxmlformats.org/officeDocument/2006/relationships/vmlDrawing" Target="../drawings/vmlDrawing1.vml" /><Relationship Id="rId9" Type="http://schemas.openxmlformats.org/officeDocument/2006/relationships/table" Target="../tables/table1.xml" /><Relationship Id="rId1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pbs.twimg.com/profile_images/1125500068889538560/3uXEGNwd_normal.jpg" TargetMode="External" /><Relationship Id="rId2" Type="http://schemas.openxmlformats.org/officeDocument/2006/relationships/hyperlink" Target="http://pbs.twimg.com/profile_images/1063796751549624320/8pKZ9rsh_normal.jpg" TargetMode="External" /><Relationship Id="rId3" Type="http://schemas.openxmlformats.org/officeDocument/2006/relationships/hyperlink" Target="http://pbs.twimg.com/profile_images/1079893487489822721/A9MqRsIp_normal.jpg" TargetMode="External" /><Relationship Id="rId4" Type="http://schemas.openxmlformats.org/officeDocument/2006/relationships/hyperlink" Target="https://twitter.com/#!/tsimon12646663/status/1133570237146832897" TargetMode="External" /><Relationship Id="rId5" Type="http://schemas.openxmlformats.org/officeDocument/2006/relationships/hyperlink" Target="https://twitter.com/#!/mahealthforkids/status/1136230337686790144" TargetMode="External" /><Relationship Id="rId6" Type="http://schemas.openxmlformats.org/officeDocument/2006/relationships/hyperlink" Target="https://twitter.com/#!/biggayicecream/status/1137752518644117505" TargetMode="External" /><Relationship Id="rId7" Type="http://schemas.openxmlformats.org/officeDocument/2006/relationships/comments" Target="../comments12.xml" /><Relationship Id="rId8" Type="http://schemas.openxmlformats.org/officeDocument/2006/relationships/vmlDrawing" Target="../drawings/vmlDrawing6.vml" /><Relationship Id="rId9" Type="http://schemas.openxmlformats.org/officeDocument/2006/relationships/table" Target="../tables/table22.xml" /><Relationship Id="rId10"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UfSFUUgwyg" TargetMode="External" /><Relationship Id="rId2" Type="http://schemas.openxmlformats.org/officeDocument/2006/relationships/hyperlink" Target="https://t.co/WZddr65lXP" TargetMode="External" /><Relationship Id="rId3" Type="http://schemas.openxmlformats.org/officeDocument/2006/relationships/hyperlink" Target="https://t.co/1Fj3cJHc8a" TargetMode="External" /><Relationship Id="rId4" Type="http://schemas.openxmlformats.org/officeDocument/2006/relationships/hyperlink" Target="https://pbs.twimg.com/profile_banners/857589911511281664/1542463593" TargetMode="External" /><Relationship Id="rId5" Type="http://schemas.openxmlformats.org/officeDocument/2006/relationships/hyperlink" Target="https://pbs.twimg.com/profile_banners/34654972/1555128432" TargetMode="External" /><Relationship Id="rId6" Type="http://schemas.openxmlformats.org/officeDocument/2006/relationships/hyperlink" Target="http://abs.twimg.com/images/themes/theme1/bg.png" TargetMode="External" /><Relationship Id="rId7" Type="http://schemas.openxmlformats.org/officeDocument/2006/relationships/hyperlink" Target="http://abs.twimg.com/images/themes/theme1/bg.png" TargetMode="External" /><Relationship Id="rId8" Type="http://schemas.openxmlformats.org/officeDocument/2006/relationships/hyperlink" Target="http://abs.twimg.com/images/themes/theme1/bg.png" TargetMode="External" /><Relationship Id="rId9" Type="http://schemas.openxmlformats.org/officeDocument/2006/relationships/hyperlink" Target="http://abs.twimg.com/images/themes/theme12/bg.gif" TargetMode="External" /><Relationship Id="rId10" Type="http://schemas.openxmlformats.org/officeDocument/2006/relationships/hyperlink" Target="http://pbs.twimg.com/profile_images/1125500068889538560/3uXEGNwd_normal.jpg" TargetMode="External" /><Relationship Id="rId11" Type="http://schemas.openxmlformats.org/officeDocument/2006/relationships/hyperlink" Target="http://pbs.twimg.com/profile_images/2649114687/fc8ae2aee10d4e78c9443e2325d87135_normal.jpeg" TargetMode="External" /><Relationship Id="rId12" Type="http://schemas.openxmlformats.org/officeDocument/2006/relationships/hyperlink" Target="http://pbs.twimg.com/profile_images/1063796751549624320/8pKZ9rsh_normal.jpg" TargetMode="External" /><Relationship Id="rId13" Type="http://schemas.openxmlformats.org/officeDocument/2006/relationships/hyperlink" Target="http://pbs.twimg.com/profile_images/1083797601495977985/CTwixNYz_normal.jpg" TargetMode="External" /><Relationship Id="rId14" Type="http://schemas.openxmlformats.org/officeDocument/2006/relationships/hyperlink" Target="http://pbs.twimg.com/profile_images/1079893487489822721/A9MqRsIp_normal.jpg" TargetMode="External" /><Relationship Id="rId15" Type="http://schemas.openxmlformats.org/officeDocument/2006/relationships/hyperlink" Target="http://pbs.twimg.com/profile_images/1119745145950355456/H73y9NVT_normal.jpg" TargetMode="External" /><Relationship Id="rId16" Type="http://schemas.openxmlformats.org/officeDocument/2006/relationships/hyperlink" Target="https://twitter.com/tsimon12646663" TargetMode="External" /><Relationship Id="rId17" Type="http://schemas.openxmlformats.org/officeDocument/2006/relationships/hyperlink" Target="https://twitter.com/thegivingpledge" TargetMode="External" /><Relationship Id="rId18" Type="http://schemas.openxmlformats.org/officeDocument/2006/relationships/hyperlink" Target="https://twitter.com/mahealthforkids" TargetMode="External" /><Relationship Id="rId19" Type="http://schemas.openxmlformats.org/officeDocument/2006/relationships/hyperlink" Target="https://twitter.com/ebasilion" TargetMode="External" /><Relationship Id="rId20" Type="http://schemas.openxmlformats.org/officeDocument/2006/relationships/hyperlink" Target="https://twitter.com/biggayicecream" TargetMode="External" /><Relationship Id="rId21" Type="http://schemas.openxmlformats.org/officeDocument/2006/relationships/hyperlink" Target="https://twitter.com/suzyquzey" TargetMode="External" /><Relationship Id="rId22" Type="http://schemas.openxmlformats.org/officeDocument/2006/relationships/comments" Target="../comments2.xml" /><Relationship Id="rId23" Type="http://schemas.openxmlformats.org/officeDocument/2006/relationships/vmlDrawing" Target="../drawings/vmlDrawing2.vml" /><Relationship Id="rId24" Type="http://schemas.openxmlformats.org/officeDocument/2006/relationships/table" Target="../tables/table2.xml" /><Relationship Id="rId2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 Id="rId2" Type="http://schemas.openxmlformats.org/officeDocument/2006/relationships/table" Target="../tables/table13.xml" /><Relationship Id="rId3" Type="http://schemas.openxmlformats.org/officeDocument/2006/relationships/table" Target="../tables/table14.xml" /><Relationship Id="rId4" Type="http://schemas.openxmlformats.org/officeDocument/2006/relationships/table" Target="../tables/table15.xml" /><Relationship Id="rId5" Type="http://schemas.openxmlformats.org/officeDocument/2006/relationships/table" Target="../tables/table16.xml" /><Relationship Id="rId6" Type="http://schemas.openxmlformats.org/officeDocument/2006/relationships/table" Target="../tables/table17.xml" /><Relationship Id="rId7" Type="http://schemas.openxmlformats.org/officeDocument/2006/relationships/table" Target="../tables/table18.xml" /><Relationship Id="rId8"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339</v>
      </c>
      <c r="BB2" s="13" t="s">
        <v>347</v>
      </c>
      <c r="BC2" s="13" t="s">
        <v>348</v>
      </c>
      <c r="BD2" s="67" t="s">
        <v>445</v>
      </c>
      <c r="BE2" s="67" t="s">
        <v>446</v>
      </c>
      <c r="BF2" s="67" t="s">
        <v>447</v>
      </c>
      <c r="BG2" s="67" t="s">
        <v>448</v>
      </c>
      <c r="BH2" s="67" t="s">
        <v>449</v>
      </c>
      <c r="BI2" s="67" t="s">
        <v>450</v>
      </c>
      <c r="BJ2" s="67" t="s">
        <v>451</v>
      </c>
      <c r="BK2" s="67" t="s">
        <v>452</v>
      </c>
      <c r="BL2" s="67" t="s">
        <v>453</v>
      </c>
    </row>
    <row r="3" spans="1:64" ht="15" customHeight="1">
      <c r="A3" s="84" t="s">
        <v>212</v>
      </c>
      <c r="B3" s="84" t="s">
        <v>215</v>
      </c>
      <c r="C3" s="53" t="s">
        <v>460</v>
      </c>
      <c r="D3" s="54">
        <v>3</v>
      </c>
      <c r="E3" s="65" t="s">
        <v>132</v>
      </c>
      <c r="F3" s="55">
        <v>35</v>
      </c>
      <c r="G3" s="53"/>
      <c r="H3" s="57"/>
      <c r="I3" s="56"/>
      <c r="J3" s="56"/>
      <c r="K3" s="36" t="s">
        <v>65</v>
      </c>
      <c r="L3" s="62">
        <v>3</v>
      </c>
      <c r="M3" s="62"/>
      <c r="N3" s="63"/>
      <c r="O3" s="85" t="s">
        <v>218</v>
      </c>
      <c r="P3" s="87">
        <v>43614.12938657407</v>
      </c>
      <c r="Q3" s="85" t="s">
        <v>220</v>
      </c>
      <c r="R3" s="85"/>
      <c r="S3" s="85"/>
      <c r="T3" s="85" t="s">
        <v>223</v>
      </c>
      <c r="U3" s="85"/>
      <c r="V3" s="89" t="s">
        <v>225</v>
      </c>
      <c r="W3" s="87">
        <v>43614.12938657407</v>
      </c>
      <c r="X3" s="89" t="s">
        <v>228</v>
      </c>
      <c r="Y3" s="85"/>
      <c r="Z3" s="85"/>
      <c r="AA3" s="91" t="s">
        <v>231</v>
      </c>
      <c r="AB3" s="85"/>
      <c r="AC3" s="85" t="b">
        <v>0</v>
      </c>
      <c r="AD3" s="85">
        <v>0</v>
      </c>
      <c r="AE3" s="91" t="s">
        <v>236</v>
      </c>
      <c r="AF3" s="85" t="b">
        <v>0</v>
      </c>
      <c r="AG3" s="85" t="s">
        <v>239</v>
      </c>
      <c r="AH3" s="85"/>
      <c r="AI3" s="91" t="s">
        <v>236</v>
      </c>
      <c r="AJ3" s="85" t="b">
        <v>0</v>
      </c>
      <c r="AK3" s="85">
        <v>0</v>
      </c>
      <c r="AL3" s="91" t="s">
        <v>236</v>
      </c>
      <c r="AM3" s="85" t="s">
        <v>240</v>
      </c>
      <c r="AN3" s="85" t="b">
        <v>0</v>
      </c>
      <c r="AO3" s="91" t="s">
        <v>231</v>
      </c>
      <c r="AP3" s="85" t="s">
        <v>176</v>
      </c>
      <c r="AQ3" s="85">
        <v>0</v>
      </c>
      <c r="AR3" s="85">
        <v>0</v>
      </c>
      <c r="AS3" s="85"/>
      <c r="AT3" s="85"/>
      <c r="AU3" s="85"/>
      <c r="AV3" s="85"/>
      <c r="AW3" s="85"/>
      <c r="AX3" s="85"/>
      <c r="AY3" s="85"/>
      <c r="AZ3" s="85"/>
      <c r="BA3">
        <v>1</v>
      </c>
      <c r="BB3" s="85" t="str">
        <f>REPLACE(INDEX(GroupVertices[Group],MATCH(Edges[[#This Row],[Vertex 1]],GroupVertices[Vertex],0)),1,1,"")</f>
        <v>3</v>
      </c>
      <c r="BC3" s="85" t="str">
        <f>REPLACE(INDEX(GroupVertices[Group],MATCH(Edges[[#This Row],[Vertex 2]],GroupVertices[Vertex],0)),1,1,"")</f>
        <v>3</v>
      </c>
      <c r="BD3" s="51">
        <v>0</v>
      </c>
      <c r="BE3" s="52">
        <v>0</v>
      </c>
      <c r="BF3" s="51">
        <v>2</v>
      </c>
      <c r="BG3" s="52">
        <v>4.761904761904762</v>
      </c>
      <c r="BH3" s="51">
        <v>0</v>
      </c>
      <c r="BI3" s="52">
        <v>0</v>
      </c>
      <c r="BJ3" s="51">
        <v>40</v>
      </c>
      <c r="BK3" s="52">
        <v>95.23809523809524</v>
      </c>
      <c r="BL3" s="51">
        <v>42</v>
      </c>
    </row>
    <row r="4" spans="1:64" ht="15" customHeight="1">
      <c r="A4" s="84" t="s">
        <v>213</v>
      </c>
      <c r="B4" s="84" t="s">
        <v>216</v>
      </c>
      <c r="C4" s="53" t="s">
        <v>460</v>
      </c>
      <c r="D4" s="54">
        <v>3</v>
      </c>
      <c r="E4" s="65" t="s">
        <v>132</v>
      </c>
      <c r="F4" s="55">
        <v>35</v>
      </c>
      <c r="G4" s="53"/>
      <c r="H4" s="57"/>
      <c r="I4" s="56"/>
      <c r="J4" s="56"/>
      <c r="K4" s="36" t="s">
        <v>65</v>
      </c>
      <c r="L4" s="83">
        <v>4</v>
      </c>
      <c r="M4" s="83"/>
      <c r="N4" s="63"/>
      <c r="O4" s="86" t="s">
        <v>219</v>
      </c>
      <c r="P4" s="88">
        <v>43621.469872685186</v>
      </c>
      <c r="Q4" s="86" t="s">
        <v>221</v>
      </c>
      <c r="R4" s="86"/>
      <c r="S4" s="86"/>
      <c r="T4" s="86" t="s">
        <v>224</v>
      </c>
      <c r="U4" s="86"/>
      <c r="V4" s="90" t="s">
        <v>226</v>
      </c>
      <c r="W4" s="88">
        <v>43621.469872685186</v>
      </c>
      <c r="X4" s="90" t="s">
        <v>229</v>
      </c>
      <c r="Y4" s="86"/>
      <c r="Z4" s="86"/>
      <c r="AA4" s="92" t="s">
        <v>232</v>
      </c>
      <c r="AB4" s="92" t="s">
        <v>234</v>
      </c>
      <c r="AC4" s="86" t="b">
        <v>0</v>
      </c>
      <c r="AD4" s="86">
        <v>0</v>
      </c>
      <c r="AE4" s="92" t="s">
        <v>237</v>
      </c>
      <c r="AF4" s="86" t="b">
        <v>0</v>
      </c>
      <c r="AG4" s="86" t="s">
        <v>239</v>
      </c>
      <c r="AH4" s="86"/>
      <c r="AI4" s="92" t="s">
        <v>236</v>
      </c>
      <c r="AJ4" s="86" t="b">
        <v>0</v>
      </c>
      <c r="AK4" s="86">
        <v>0</v>
      </c>
      <c r="AL4" s="92" t="s">
        <v>236</v>
      </c>
      <c r="AM4" s="86" t="s">
        <v>240</v>
      </c>
      <c r="AN4" s="86" t="b">
        <v>0</v>
      </c>
      <c r="AO4" s="92" t="s">
        <v>234</v>
      </c>
      <c r="AP4" s="86" t="s">
        <v>176</v>
      </c>
      <c r="AQ4" s="86">
        <v>0</v>
      </c>
      <c r="AR4" s="86">
        <v>0</v>
      </c>
      <c r="AS4" s="86"/>
      <c r="AT4" s="86"/>
      <c r="AU4" s="86"/>
      <c r="AV4" s="86"/>
      <c r="AW4" s="86"/>
      <c r="AX4" s="86"/>
      <c r="AY4" s="86"/>
      <c r="AZ4" s="86"/>
      <c r="BA4">
        <v>1</v>
      </c>
      <c r="BB4" s="85" t="str">
        <f>REPLACE(INDEX(GroupVertices[Group],MATCH(Edges[[#This Row],[Vertex 1]],GroupVertices[Vertex],0)),1,1,"")</f>
        <v>2</v>
      </c>
      <c r="BC4" s="85" t="str">
        <f>REPLACE(INDEX(GroupVertices[Group],MATCH(Edges[[#This Row],[Vertex 2]],GroupVertices[Vertex],0)),1,1,"")</f>
        <v>2</v>
      </c>
      <c r="BD4" s="51">
        <v>1</v>
      </c>
      <c r="BE4" s="52">
        <v>1.9607843137254901</v>
      </c>
      <c r="BF4" s="51">
        <v>0</v>
      </c>
      <c r="BG4" s="52">
        <v>0</v>
      </c>
      <c r="BH4" s="51">
        <v>0</v>
      </c>
      <c r="BI4" s="52">
        <v>0</v>
      </c>
      <c r="BJ4" s="51">
        <v>50</v>
      </c>
      <c r="BK4" s="52">
        <v>98.03921568627452</v>
      </c>
      <c r="BL4" s="51">
        <v>51</v>
      </c>
    </row>
    <row r="5" spans="1:64" ht="45">
      <c r="A5" s="84" t="s">
        <v>214</v>
      </c>
      <c r="B5" s="84" t="s">
        <v>217</v>
      </c>
      <c r="C5" s="53" t="s">
        <v>460</v>
      </c>
      <c r="D5" s="54">
        <v>3</v>
      </c>
      <c r="E5" s="65" t="s">
        <v>132</v>
      </c>
      <c r="F5" s="55">
        <v>35</v>
      </c>
      <c r="G5" s="53"/>
      <c r="H5" s="57"/>
      <c r="I5" s="56"/>
      <c r="J5" s="56"/>
      <c r="K5" s="36" t="s">
        <v>65</v>
      </c>
      <c r="L5" s="83">
        <v>5</v>
      </c>
      <c r="M5" s="83"/>
      <c r="N5" s="63"/>
      <c r="O5" s="86" t="s">
        <v>219</v>
      </c>
      <c r="P5" s="88">
        <v>43625.67028935185</v>
      </c>
      <c r="Q5" s="86" t="s">
        <v>222</v>
      </c>
      <c r="R5" s="86"/>
      <c r="S5" s="86"/>
      <c r="T5" s="86"/>
      <c r="U5" s="86"/>
      <c r="V5" s="90" t="s">
        <v>227</v>
      </c>
      <c r="W5" s="88">
        <v>43625.67028935185</v>
      </c>
      <c r="X5" s="90" t="s">
        <v>230</v>
      </c>
      <c r="Y5" s="86"/>
      <c r="Z5" s="86"/>
      <c r="AA5" s="92" t="s">
        <v>233</v>
      </c>
      <c r="AB5" s="92" t="s">
        <v>235</v>
      </c>
      <c r="AC5" s="86" t="b">
        <v>0</v>
      </c>
      <c r="AD5" s="86">
        <v>1</v>
      </c>
      <c r="AE5" s="92" t="s">
        <v>238</v>
      </c>
      <c r="AF5" s="86" t="b">
        <v>0</v>
      </c>
      <c r="AG5" s="86" t="s">
        <v>239</v>
      </c>
      <c r="AH5" s="86"/>
      <c r="AI5" s="92" t="s">
        <v>236</v>
      </c>
      <c r="AJ5" s="86" t="b">
        <v>0</v>
      </c>
      <c r="AK5" s="86">
        <v>0</v>
      </c>
      <c r="AL5" s="92" t="s">
        <v>236</v>
      </c>
      <c r="AM5" s="86" t="s">
        <v>240</v>
      </c>
      <c r="AN5" s="86" t="b">
        <v>0</v>
      </c>
      <c r="AO5" s="92" t="s">
        <v>235</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v>0</v>
      </c>
      <c r="BE5" s="52">
        <v>0</v>
      </c>
      <c r="BF5" s="51">
        <v>0</v>
      </c>
      <c r="BG5" s="52">
        <v>0</v>
      </c>
      <c r="BH5" s="51">
        <v>0</v>
      </c>
      <c r="BI5" s="52">
        <v>0</v>
      </c>
      <c r="BJ5" s="51">
        <v>5</v>
      </c>
      <c r="BK5" s="52">
        <v>100</v>
      </c>
      <c r="BL5" s="51">
        <v>5</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ErrorMessage="1" sqref="N2:N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Color" prompt="To select an optional edge color, right-click and select Select Color on the right-click menu." sqref="C3:C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Opacity" prompt="Enter an optional edge opacity between 0 (transparent) and 100 (opaque)." errorTitle="Invalid Edge Opacity" error="The optional edge opacity must be a whole number between 0 and 10." sqref="F3:F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showErrorMessage="1" promptTitle="Vertex 1 Name" prompt="Enter the name of the edge's first vertex." sqref="A3:A5"/>
    <dataValidation allowBlank="1" showInputMessage="1" showErrorMessage="1" promptTitle="Vertex 2 Name" prompt="Enter the name of the edge's second vertex." sqref="B3:B5"/>
    <dataValidation allowBlank="1" showInputMessage="1" showErrorMessage="1" promptTitle="Edge Label" prompt="Enter an optional edge label." errorTitle="Invalid Edge Visibility" error="You have entered an unrecognized edge visibility.  Try selecting from the drop-down list instead." sqref="H3:H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
  </dataValidations>
  <hyperlinks>
    <hyperlink ref="V3" r:id="rId1" display="http://pbs.twimg.com/profile_images/1125500068889538560/3uXEGNwd_normal.jpg"/>
    <hyperlink ref="V4" r:id="rId2" display="http://pbs.twimg.com/profile_images/1063796751549624320/8pKZ9rsh_normal.jpg"/>
    <hyperlink ref="V5" r:id="rId3" display="http://pbs.twimg.com/profile_images/1079893487489822721/A9MqRsIp_normal.jpg"/>
    <hyperlink ref="X3" r:id="rId4" display="https://twitter.com/#!/tsimon12646663/status/1133570237146832897"/>
    <hyperlink ref="X4" r:id="rId5" display="https://twitter.com/#!/mahealthforkids/status/1136230337686790144"/>
    <hyperlink ref="X5" r:id="rId6" display="https://twitter.com/#!/biggayicecream/status/1137752518644117505"/>
  </hyperlinks>
  <printOptions/>
  <pageMargins left="0.7" right="0.7" top="0.75" bottom="0.75" header="0.3" footer="0.3"/>
  <pageSetup horizontalDpi="600" verticalDpi="600" orientation="portrait" r:id="rId10"/>
  <legacyDrawing r:id="rId8"/>
  <tableParts>
    <tablePart r:id="rId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429</v>
      </c>
      <c r="B1" s="13" t="s">
        <v>430</v>
      </c>
      <c r="C1" s="13" t="s">
        <v>431</v>
      </c>
      <c r="D1" s="13" t="s">
        <v>144</v>
      </c>
      <c r="E1" s="13" t="s">
        <v>433</v>
      </c>
      <c r="F1" s="13" t="s">
        <v>434</v>
      </c>
      <c r="G1" s="13" t="s">
        <v>435</v>
      </c>
    </row>
    <row r="2" spans="1:7" ht="15">
      <c r="A2" s="85" t="s">
        <v>378</v>
      </c>
      <c r="B2" s="85">
        <v>1</v>
      </c>
      <c r="C2" s="132">
        <v>0.010204081632653062</v>
      </c>
      <c r="D2" s="85" t="s">
        <v>432</v>
      </c>
      <c r="E2" s="85"/>
      <c r="F2" s="85"/>
      <c r="G2" s="85"/>
    </row>
    <row r="3" spans="1:7" ht="15">
      <c r="A3" s="85" t="s">
        <v>379</v>
      </c>
      <c r="B3" s="85">
        <v>2</v>
      </c>
      <c r="C3" s="132">
        <v>0.020408163265306124</v>
      </c>
      <c r="D3" s="85" t="s">
        <v>432</v>
      </c>
      <c r="E3" s="85"/>
      <c r="F3" s="85"/>
      <c r="G3" s="85"/>
    </row>
    <row r="4" spans="1:7" ht="15">
      <c r="A4" s="85" t="s">
        <v>380</v>
      </c>
      <c r="B4" s="85">
        <v>0</v>
      </c>
      <c r="C4" s="132">
        <v>0</v>
      </c>
      <c r="D4" s="85" t="s">
        <v>432</v>
      </c>
      <c r="E4" s="85"/>
      <c r="F4" s="85"/>
      <c r="G4" s="85"/>
    </row>
    <row r="5" spans="1:7" ht="15">
      <c r="A5" s="85" t="s">
        <v>381</v>
      </c>
      <c r="B5" s="85">
        <v>95</v>
      </c>
      <c r="C5" s="132">
        <v>0.9693877551020408</v>
      </c>
      <c r="D5" s="85" t="s">
        <v>432</v>
      </c>
      <c r="E5" s="85"/>
      <c r="F5" s="85"/>
      <c r="G5" s="85"/>
    </row>
    <row r="6" spans="1:7" ht="15">
      <c r="A6" s="85" t="s">
        <v>382</v>
      </c>
      <c r="B6" s="85">
        <v>98</v>
      </c>
      <c r="C6" s="132">
        <v>1</v>
      </c>
      <c r="D6" s="85" t="s">
        <v>432</v>
      </c>
      <c r="E6" s="85"/>
      <c r="F6" s="85"/>
      <c r="G6" s="85"/>
    </row>
    <row r="7" spans="1:7" ht="15">
      <c r="A7" s="91" t="s">
        <v>383</v>
      </c>
      <c r="B7" s="91">
        <v>2</v>
      </c>
      <c r="C7" s="133">
        <v>0.017349863807987725</v>
      </c>
      <c r="D7" s="91" t="s">
        <v>432</v>
      </c>
      <c r="E7" s="91" t="b">
        <v>0</v>
      </c>
      <c r="F7" s="91" t="b">
        <v>0</v>
      </c>
      <c r="G7" s="91" t="b">
        <v>0</v>
      </c>
    </row>
    <row r="8" spans="1:7" ht="15">
      <c r="A8" s="91" t="s">
        <v>384</v>
      </c>
      <c r="B8" s="91">
        <v>2</v>
      </c>
      <c r="C8" s="133">
        <v>0.017349863807987725</v>
      </c>
      <c r="D8" s="91" t="s">
        <v>432</v>
      </c>
      <c r="E8" s="91" t="b">
        <v>0</v>
      </c>
      <c r="F8" s="91" t="b">
        <v>0</v>
      </c>
      <c r="G8" s="91" t="b">
        <v>0</v>
      </c>
    </row>
    <row r="9" spans="1:7" ht="15">
      <c r="A9" s="91" t="s">
        <v>385</v>
      </c>
      <c r="B9" s="91">
        <v>2</v>
      </c>
      <c r="C9" s="133">
        <v>0.006403318511115681</v>
      </c>
      <c r="D9" s="91" t="s">
        <v>432</v>
      </c>
      <c r="E9" s="91" t="b">
        <v>0</v>
      </c>
      <c r="F9" s="91" t="b">
        <v>0</v>
      </c>
      <c r="G9" s="91" t="b">
        <v>0</v>
      </c>
    </row>
    <row r="10" spans="1:7" ht="15">
      <c r="A10" s="91" t="s">
        <v>383</v>
      </c>
      <c r="B10" s="91">
        <v>2</v>
      </c>
      <c r="C10" s="133">
        <v>0</v>
      </c>
      <c r="D10" s="91" t="s">
        <v>341</v>
      </c>
      <c r="E10" s="91" t="b">
        <v>0</v>
      </c>
      <c r="F10" s="91" t="b">
        <v>0</v>
      </c>
      <c r="G10" s="91" t="b">
        <v>0</v>
      </c>
    </row>
    <row r="11" spans="1:7" ht="15">
      <c r="A11" s="91" t="s">
        <v>384</v>
      </c>
      <c r="B11" s="91">
        <v>2</v>
      </c>
      <c r="C11" s="133">
        <v>0</v>
      </c>
      <c r="D11" s="91" t="s">
        <v>341</v>
      </c>
      <c r="E11" s="91" t="b">
        <v>0</v>
      </c>
      <c r="F11" s="91" t="b">
        <v>0</v>
      </c>
      <c r="G11"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5" t="s">
        <v>436</v>
      </c>
      <c r="B1" s="85" t="s">
        <v>437</v>
      </c>
      <c r="C1" s="85" t="s">
        <v>430</v>
      </c>
      <c r="D1" s="85" t="s">
        <v>431</v>
      </c>
      <c r="E1" s="85" t="s">
        <v>438</v>
      </c>
      <c r="F1" s="85" t="s">
        <v>144</v>
      </c>
      <c r="G1" s="85" t="s">
        <v>439</v>
      </c>
      <c r="H1" s="85" t="s">
        <v>440</v>
      </c>
      <c r="I1" s="85" t="s">
        <v>441</v>
      </c>
      <c r="J1" s="85" t="s">
        <v>442</v>
      </c>
      <c r="K1" s="85" t="s">
        <v>443</v>
      </c>
      <c r="L1" s="85" t="s">
        <v>444</v>
      </c>
    </row>
    <row r="2" spans="1:12" ht="15">
      <c r="A2" s="85"/>
      <c r="B2" s="85"/>
      <c r="C2" s="85"/>
      <c r="D2" s="132"/>
      <c r="E2" s="132"/>
      <c r="F2" s="85"/>
      <c r="G2" s="85"/>
      <c r="H2" s="85"/>
      <c r="I2" s="85"/>
      <c r="J2" s="85"/>
      <c r="K2" s="85"/>
      <c r="L2" s="85"/>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339</v>
      </c>
      <c r="BB2" s="13" t="s">
        <v>347</v>
      </c>
      <c r="BC2" s="13" t="s">
        <v>348</v>
      </c>
      <c r="BD2" s="67" t="s">
        <v>445</v>
      </c>
      <c r="BE2" s="67" t="s">
        <v>446</v>
      </c>
      <c r="BF2" s="67" t="s">
        <v>447</v>
      </c>
      <c r="BG2" s="67" t="s">
        <v>448</v>
      </c>
      <c r="BH2" s="67" t="s">
        <v>449</v>
      </c>
      <c r="BI2" s="67" t="s">
        <v>450</v>
      </c>
      <c r="BJ2" s="67" t="s">
        <v>451</v>
      </c>
      <c r="BK2" s="67" t="s">
        <v>452</v>
      </c>
      <c r="BL2" s="67" t="s">
        <v>453</v>
      </c>
    </row>
    <row r="3" spans="1:64" ht="15" customHeight="1">
      <c r="A3" s="84" t="s">
        <v>212</v>
      </c>
      <c r="B3" s="84" t="s">
        <v>215</v>
      </c>
      <c r="C3" s="53"/>
      <c r="D3" s="54"/>
      <c r="E3" s="65"/>
      <c r="F3" s="55"/>
      <c r="G3" s="53"/>
      <c r="H3" s="57"/>
      <c r="I3" s="56"/>
      <c r="J3" s="56"/>
      <c r="K3" s="36" t="s">
        <v>65</v>
      </c>
      <c r="L3" s="62">
        <v>3</v>
      </c>
      <c r="M3" s="62"/>
      <c r="N3" s="63"/>
      <c r="O3" s="85" t="s">
        <v>218</v>
      </c>
      <c r="P3" s="87">
        <v>43614.12938657407</v>
      </c>
      <c r="Q3" s="85" t="s">
        <v>220</v>
      </c>
      <c r="R3" s="85"/>
      <c r="S3" s="85"/>
      <c r="T3" s="85" t="s">
        <v>223</v>
      </c>
      <c r="U3" s="85"/>
      <c r="V3" s="89" t="s">
        <v>225</v>
      </c>
      <c r="W3" s="87">
        <v>43614.12938657407</v>
      </c>
      <c r="X3" s="89" t="s">
        <v>228</v>
      </c>
      <c r="Y3" s="85"/>
      <c r="Z3" s="85"/>
      <c r="AA3" s="91" t="s">
        <v>231</v>
      </c>
      <c r="AB3" s="85"/>
      <c r="AC3" s="85" t="b">
        <v>0</v>
      </c>
      <c r="AD3" s="85">
        <v>0</v>
      </c>
      <c r="AE3" s="91" t="s">
        <v>236</v>
      </c>
      <c r="AF3" s="85" t="b">
        <v>0</v>
      </c>
      <c r="AG3" s="85" t="s">
        <v>239</v>
      </c>
      <c r="AH3" s="85"/>
      <c r="AI3" s="91" t="s">
        <v>236</v>
      </c>
      <c r="AJ3" s="85" t="b">
        <v>0</v>
      </c>
      <c r="AK3" s="85">
        <v>0</v>
      </c>
      <c r="AL3" s="91" t="s">
        <v>236</v>
      </c>
      <c r="AM3" s="85" t="s">
        <v>240</v>
      </c>
      <c r="AN3" s="85" t="b">
        <v>0</v>
      </c>
      <c r="AO3" s="91" t="s">
        <v>231</v>
      </c>
      <c r="AP3" s="85" t="s">
        <v>176</v>
      </c>
      <c r="AQ3" s="85">
        <v>0</v>
      </c>
      <c r="AR3" s="85">
        <v>0</v>
      </c>
      <c r="AS3" s="85"/>
      <c r="AT3" s="85"/>
      <c r="AU3" s="85"/>
      <c r="AV3" s="85"/>
      <c r="AW3" s="85"/>
      <c r="AX3" s="85"/>
      <c r="AY3" s="85"/>
      <c r="AZ3" s="85"/>
      <c r="BA3">
        <v>1</v>
      </c>
      <c r="BB3" s="85" t="str">
        <f>REPLACE(INDEX(GroupVertices[Group],MATCH(Edges24[[#This Row],[Vertex 1]],GroupVertices[Vertex],0)),1,1,"")</f>
        <v>3</v>
      </c>
      <c r="BC3" s="85" t="str">
        <f>REPLACE(INDEX(GroupVertices[Group],MATCH(Edges24[[#This Row],[Vertex 2]],GroupVertices[Vertex],0)),1,1,"")</f>
        <v>3</v>
      </c>
      <c r="BD3" s="51">
        <v>0</v>
      </c>
      <c r="BE3" s="52">
        <v>0</v>
      </c>
      <c r="BF3" s="51">
        <v>2</v>
      </c>
      <c r="BG3" s="52">
        <v>4.761904761904762</v>
      </c>
      <c r="BH3" s="51">
        <v>0</v>
      </c>
      <c r="BI3" s="52">
        <v>0</v>
      </c>
      <c r="BJ3" s="51">
        <v>40</v>
      </c>
      <c r="BK3" s="52">
        <v>95.23809523809524</v>
      </c>
      <c r="BL3" s="51">
        <v>42</v>
      </c>
    </row>
    <row r="4" spans="1:64" ht="15" customHeight="1">
      <c r="A4" s="84" t="s">
        <v>213</v>
      </c>
      <c r="B4" s="84" t="s">
        <v>216</v>
      </c>
      <c r="C4" s="53"/>
      <c r="D4" s="54"/>
      <c r="E4" s="65"/>
      <c r="F4" s="55"/>
      <c r="G4" s="53"/>
      <c r="H4" s="57"/>
      <c r="I4" s="56"/>
      <c r="J4" s="56"/>
      <c r="K4" s="36" t="s">
        <v>65</v>
      </c>
      <c r="L4" s="83">
        <v>4</v>
      </c>
      <c r="M4" s="83"/>
      <c r="N4" s="63"/>
      <c r="O4" s="86" t="s">
        <v>219</v>
      </c>
      <c r="P4" s="88">
        <v>43621.469872685186</v>
      </c>
      <c r="Q4" s="86" t="s">
        <v>221</v>
      </c>
      <c r="R4" s="86"/>
      <c r="S4" s="86"/>
      <c r="T4" s="86" t="s">
        <v>224</v>
      </c>
      <c r="U4" s="86"/>
      <c r="V4" s="90" t="s">
        <v>226</v>
      </c>
      <c r="W4" s="88">
        <v>43621.469872685186</v>
      </c>
      <c r="X4" s="90" t="s">
        <v>229</v>
      </c>
      <c r="Y4" s="86"/>
      <c r="Z4" s="86"/>
      <c r="AA4" s="92" t="s">
        <v>232</v>
      </c>
      <c r="AB4" s="92" t="s">
        <v>234</v>
      </c>
      <c r="AC4" s="86" t="b">
        <v>0</v>
      </c>
      <c r="AD4" s="86">
        <v>0</v>
      </c>
      <c r="AE4" s="92" t="s">
        <v>237</v>
      </c>
      <c r="AF4" s="86" t="b">
        <v>0</v>
      </c>
      <c r="AG4" s="86" t="s">
        <v>239</v>
      </c>
      <c r="AH4" s="86"/>
      <c r="AI4" s="92" t="s">
        <v>236</v>
      </c>
      <c r="AJ4" s="86" t="b">
        <v>0</v>
      </c>
      <c r="AK4" s="86">
        <v>0</v>
      </c>
      <c r="AL4" s="92" t="s">
        <v>236</v>
      </c>
      <c r="AM4" s="86" t="s">
        <v>240</v>
      </c>
      <c r="AN4" s="86" t="b">
        <v>0</v>
      </c>
      <c r="AO4" s="92" t="s">
        <v>234</v>
      </c>
      <c r="AP4" s="86" t="s">
        <v>176</v>
      </c>
      <c r="AQ4" s="86">
        <v>0</v>
      </c>
      <c r="AR4" s="86">
        <v>0</v>
      </c>
      <c r="AS4" s="86"/>
      <c r="AT4" s="86"/>
      <c r="AU4" s="86"/>
      <c r="AV4" s="86"/>
      <c r="AW4" s="86"/>
      <c r="AX4" s="86"/>
      <c r="AY4" s="86"/>
      <c r="AZ4" s="86"/>
      <c r="BA4">
        <v>1</v>
      </c>
      <c r="BB4" s="85" t="str">
        <f>REPLACE(INDEX(GroupVertices[Group],MATCH(Edges24[[#This Row],[Vertex 1]],GroupVertices[Vertex],0)),1,1,"")</f>
        <v>2</v>
      </c>
      <c r="BC4" s="85" t="str">
        <f>REPLACE(INDEX(GroupVertices[Group],MATCH(Edges24[[#This Row],[Vertex 2]],GroupVertices[Vertex],0)),1,1,"")</f>
        <v>2</v>
      </c>
      <c r="BD4" s="51">
        <v>1</v>
      </c>
      <c r="BE4" s="52">
        <v>1.9607843137254901</v>
      </c>
      <c r="BF4" s="51">
        <v>0</v>
      </c>
      <c r="BG4" s="52">
        <v>0</v>
      </c>
      <c r="BH4" s="51">
        <v>0</v>
      </c>
      <c r="BI4" s="52">
        <v>0</v>
      </c>
      <c r="BJ4" s="51">
        <v>50</v>
      </c>
      <c r="BK4" s="52">
        <v>98.03921568627452</v>
      </c>
      <c r="BL4" s="51">
        <v>51</v>
      </c>
    </row>
    <row r="5" spans="1:64" ht="15">
      <c r="A5" s="84" t="s">
        <v>214</v>
      </c>
      <c r="B5" s="84" t="s">
        <v>217</v>
      </c>
      <c r="C5" s="53"/>
      <c r="D5" s="54"/>
      <c r="E5" s="65"/>
      <c r="F5" s="55"/>
      <c r="G5" s="53"/>
      <c r="H5" s="57"/>
      <c r="I5" s="56"/>
      <c r="J5" s="56"/>
      <c r="K5" s="36" t="s">
        <v>65</v>
      </c>
      <c r="L5" s="83">
        <v>5</v>
      </c>
      <c r="M5" s="83"/>
      <c r="N5" s="63"/>
      <c r="O5" s="86" t="s">
        <v>219</v>
      </c>
      <c r="P5" s="88">
        <v>43625.67028935185</v>
      </c>
      <c r="Q5" s="86" t="s">
        <v>222</v>
      </c>
      <c r="R5" s="86"/>
      <c r="S5" s="86"/>
      <c r="T5" s="86"/>
      <c r="U5" s="86"/>
      <c r="V5" s="90" t="s">
        <v>227</v>
      </c>
      <c r="W5" s="88">
        <v>43625.67028935185</v>
      </c>
      <c r="X5" s="90" t="s">
        <v>230</v>
      </c>
      <c r="Y5" s="86"/>
      <c r="Z5" s="86"/>
      <c r="AA5" s="92" t="s">
        <v>233</v>
      </c>
      <c r="AB5" s="92" t="s">
        <v>235</v>
      </c>
      <c r="AC5" s="86" t="b">
        <v>0</v>
      </c>
      <c r="AD5" s="86">
        <v>1</v>
      </c>
      <c r="AE5" s="92" t="s">
        <v>238</v>
      </c>
      <c r="AF5" s="86" t="b">
        <v>0</v>
      </c>
      <c r="AG5" s="86" t="s">
        <v>239</v>
      </c>
      <c r="AH5" s="86"/>
      <c r="AI5" s="92" t="s">
        <v>236</v>
      </c>
      <c r="AJ5" s="86" t="b">
        <v>0</v>
      </c>
      <c r="AK5" s="86">
        <v>0</v>
      </c>
      <c r="AL5" s="92" t="s">
        <v>236</v>
      </c>
      <c r="AM5" s="86" t="s">
        <v>240</v>
      </c>
      <c r="AN5" s="86" t="b">
        <v>0</v>
      </c>
      <c r="AO5" s="92" t="s">
        <v>235</v>
      </c>
      <c r="AP5" s="86" t="s">
        <v>176</v>
      </c>
      <c r="AQ5" s="86">
        <v>0</v>
      </c>
      <c r="AR5" s="86">
        <v>0</v>
      </c>
      <c r="AS5" s="86"/>
      <c r="AT5" s="86"/>
      <c r="AU5" s="86"/>
      <c r="AV5" s="86"/>
      <c r="AW5" s="86"/>
      <c r="AX5" s="86"/>
      <c r="AY5" s="86"/>
      <c r="AZ5" s="86"/>
      <c r="BA5">
        <v>1</v>
      </c>
      <c r="BB5" s="85" t="str">
        <f>REPLACE(INDEX(GroupVertices[Group],MATCH(Edges24[[#This Row],[Vertex 1]],GroupVertices[Vertex],0)),1,1,"")</f>
        <v>1</v>
      </c>
      <c r="BC5" s="85" t="str">
        <f>REPLACE(INDEX(GroupVertices[Group],MATCH(Edges24[[#This Row],[Vertex 2]],GroupVertices[Vertex],0)),1,1,"")</f>
        <v>1</v>
      </c>
      <c r="BD5" s="51">
        <v>0</v>
      </c>
      <c r="BE5" s="52">
        <v>0</v>
      </c>
      <c r="BF5" s="51">
        <v>0</v>
      </c>
      <c r="BG5" s="52">
        <v>0</v>
      </c>
      <c r="BH5" s="51">
        <v>0</v>
      </c>
      <c r="BI5" s="52">
        <v>0</v>
      </c>
      <c r="BJ5" s="51">
        <v>5</v>
      </c>
      <c r="BK5" s="52">
        <v>100</v>
      </c>
      <c r="BL5" s="51">
        <v>5</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
    <dataValidation allowBlank="1" showInputMessage="1" showErrorMessage="1" promptTitle="Vertex 2 Name" prompt="Enter the name of the edge's second vertex." sqref="B3:B5"/>
    <dataValidation allowBlank="1" showInputMessage="1" showErrorMessage="1" promptTitle="Vertex 1 Name" prompt="Enter the name of the edge's first vertex." sqref="A3:A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Color" prompt="To select an optional edge color, right-click and select Select Color on the right-click menu." sqref="C3:C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ErrorMessage="1" sqref="N2:N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s>
  <hyperlinks>
    <hyperlink ref="V3" r:id="rId1" display="http://pbs.twimg.com/profile_images/1125500068889538560/3uXEGNwd_normal.jpg"/>
    <hyperlink ref="V4" r:id="rId2" display="http://pbs.twimg.com/profile_images/1063796751549624320/8pKZ9rsh_normal.jpg"/>
    <hyperlink ref="V5" r:id="rId3" display="http://pbs.twimg.com/profile_images/1079893487489822721/A9MqRsIp_normal.jpg"/>
    <hyperlink ref="X3" r:id="rId4" display="https://twitter.com/#!/tsimon12646663/status/1133570237146832897"/>
    <hyperlink ref="X4" r:id="rId5" display="https://twitter.com/#!/mahealthforkids/status/1136230337686790144"/>
    <hyperlink ref="X5" r:id="rId6" display="https://twitter.com/#!/biggayicecream/status/1137752518644117505"/>
  </hyperlinks>
  <printOptions/>
  <pageMargins left="0.7" right="0.7" top="0.75" bottom="0.75" header="0.3" footer="0.3"/>
  <pageSetup horizontalDpi="600" verticalDpi="600" orientation="portrait" r:id="rId10"/>
  <legacyDrawing r:id="rId8"/>
  <tableParts>
    <tablePart r:id="rId9"/>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456</v>
      </c>
      <c r="B1" s="13" t="s">
        <v>34</v>
      </c>
    </row>
    <row r="2" spans="1:2" ht="15">
      <c r="A2" s="124" t="s">
        <v>216</v>
      </c>
      <c r="B2" s="85">
        <v>0</v>
      </c>
    </row>
    <row r="3" spans="1:2" ht="15">
      <c r="A3" s="124" t="s">
        <v>214</v>
      </c>
      <c r="B3" s="85">
        <v>0</v>
      </c>
    </row>
    <row r="4" spans="1:2" ht="15">
      <c r="A4" s="124" t="s">
        <v>217</v>
      </c>
      <c r="B4" s="85">
        <v>0</v>
      </c>
    </row>
    <row r="5" spans="1:2" ht="15">
      <c r="A5" s="124" t="s">
        <v>212</v>
      </c>
      <c r="B5" s="85">
        <v>0</v>
      </c>
    </row>
    <row r="6" spans="1:2" ht="15">
      <c r="A6" s="124" t="s">
        <v>215</v>
      </c>
      <c r="B6" s="85">
        <v>0</v>
      </c>
    </row>
    <row r="7" spans="1:2" ht="15">
      <c r="A7" s="124" t="s">
        <v>213</v>
      </c>
      <c r="B7" s="85">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35" t="s">
        <v>458</v>
      </c>
      <c r="B25" t="s">
        <v>457</v>
      </c>
    </row>
    <row r="26" spans="1:2" ht="15">
      <c r="A26" s="136">
        <v>43614.12938657407</v>
      </c>
      <c r="B26" s="3">
        <v>1</v>
      </c>
    </row>
    <row r="27" spans="1:2" ht="15">
      <c r="A27" s="136">
        <v>43621.469872685186</v>
      </c>
      <c r="B27" s="3">
        <v>1</v>
      </c>
    </row>
    <row r="28" spans="1:2" ht="15">
      <c r="A28" s="136">
        <v>43625.67028935185</v>
      </c>
      <c r="B28" s="3">
        <v>1</v>
      </c>
    </row>
    <row r="29" spans="1:2" ht="15">
      <c r="A29" s="136" t="s">
        <v>459</v>
      </c>
      <c r="B29" s="3">
        <v>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241</v>
      </c>
      <c r="AE2" s="13" t="s">
        <v>242</v>
      </c>
      <c r="AF2" s="13" t="s">
        <v>243</v>
      </c>
      <c r="AG2" s="13" t="s">
        <v>244</v>
      </c>
      <c r="AH2" s="13" t="s">
        <v>245</v>
      </c>
      <c r="AI2" s="13" t="s">
        <v>246</v>
      </c>
      <c r="AJ2" s="13" t="s">
        <v>247</v>
      </c>
      <c r="AK2" s="13" t="s">
        <v>248</v>
      </c>
      <c r="AL2" s="13" t="s">
        <v>249</v>
      </c>
      <c r="AM2" s="13" t="s">
        <v>250</v>
      </c>
      <c r="AN2" s="13" t="s">
        <v>251</v>
      </c>
      <c r="AO2" s="13" t="s">
        <v>252</v>
      </c>
      <c r="AP2" s="13" t="s">
        <v>253</v>
      </c>
      <c r="AQ2" s="13" t="s">
        <v>254</v>
      </c>
      <c r="AR2" s="13" t="s">
        <v>255</v>
      </c>
      <c r="AS2" s="13" t="s">
        <v>192</v>
      </c>
      <c r="AT2" s="13" t="s">
        <v>256</v>
      </c>
      <c r="AU2" s="13" t="s">
        <v>257</v>
      </c>
      <c r="AV2" s="13" t="s">
        <v>258</v>
      </c>
      <c r="AW2" s="13" t="s">
        <v>259</v>
      </c>
      <c r="AX2" s="13" t="s">
        <v>260</v>
      </c>
      <c r="AY2" s="13" t="s">
        <v>261</v>
      </c>
      <c r="AZ2" s="13" t="s">
        <v>346</v>
      </c>
      <c r="BA2" s="130" t="s">
        <v>414</v>
      </c>
      <c r="BB2" s="130" t="s">
        <v>415</v>
      </c>
      <c r="BC2" s="130" t="s">
        <v>416</v>
      </c>
      <c r="BD2" s="130" t="s">
        <v>417</v>
      </c>
      <c r="BE2" s="130" t="s">
        <v>418</v>
      </c>
      <c r="BF2" s="130" t="s">
        <v>419</v>
      </c>
      <c r="BG2" s="130" t="s">
        <v>420</v>
      </c>
      <c r="BH2" s="130" t="s">
        <v>423</v>
      </c>
      <c r="BI2" s="130" t="s">
        <v>424</v>
      </c>
      <c r="BJ2" s="130" t="s">
        <v>428</v>
      </c>
      <c r="BK2" s="130" t="s">
        <v>445</v>
      </c>
      <c r="BL2" s="130" t="s">
        <v>446</v>
      </c>
      <c r="BM2" s="130" t="s">
        <v>447</v>
      </c>
      <c r="BN2" s="130" t="s">
        <v>448</v>
      </c>
      <c r="BO2" s="130" t="s">
        <v>449</v>
      </c>
      <c r="BP2" s="130" t="s">
        <v>450</v>
      </c>
      <c r="BQ2" s="130" t="s">
        <v>451</v>
      </c>
      <c r="BR2" s="130" t="s">
        <v>452</v>
      </c>
      <c r="BS2" s="130" t="s">
        <v>454</v>
      </c>
      <c r="BT2" s="3"/>
      <c r="BU2" s="3"/>
    </row>
    <row r="3" spans="1:73" ht="15" customHeight="1">
      <c r="A3" s="50" t="s">
        <v>212</v>
      </c>
      <c r="B3" s="53"/>
      <c r="C3" s="53" t="s">
        <v>64</v>
      </c>
      <c r="D3" s="54">
        <v>162</v>
      </c>
      <c r="E3" s="55"/>
      <c r="F3" s="112" t="s">
        <v>225</v>
      </c>
      <c r="G3" s="53"/>
      <c r="H3" s="57" t="s">
        <v>212</v>
      </c>
      <c r="I3" s="56"/>
      <c r="J3" s="56"/>
      <c r="K3" s="114" t="s">
        <v>295</v>
      </c>
      <c r="L3" s="59">
        <v>1</v>
      </c>
      <c r="M3" s="60">
        <v>1731.470703125</v>
      </c>
      <c r="N3" s="60">
        <v>2676.202880859375</v>
      </c>
      <c r="O3" s="58"/>
      <c r="P3" s="61"/>
      <c r="Q3" s="61"/>
      <c r="R3" s="51"/>
      <c r="S3" s="51">
        <v>0</v>
      </c>
      <c r="T3" s="51">
        <v>1</v>
      </c>
      <c r="U3" s="52">
        <v>0</v>
      </c>
      <c r="V3" s="52">
        <v>1</v>
      </c>
      <c r="W3" s="52">
        <v>0.166667</v>
      </c>
      <c r="X3" s="52">
        <v>0.999907</v>
      </c>
      <c r="Y3" s="52">
        <v>0</v>
      </c>
      <c r="Z3" s="52">
        <v>0</v>
      </c>
      <c r="AA3" s="62">
        <v>3</v>
      </c>
      <c r="AB3" s="62"/>
      <c r="AC3" s="63"/>
      <c r="AD3" s="85" t="s">
        <v>262</v>
      </c>
      <c r="AE3" s="85">
        <v>108</v>
      </c>
      <c r="AF3" s="85">
        <v>3</v>
      </c>
      <c r="AG3" s="85">
        <v>66</v>
      </c>
      <c r="AH3" s="85">
        <v>1925</v>
      </c>
      <c r="AI3" s="85"/>
      <c r="AJ3" s="85" t="s">
        <v>268</v>
      </c>
      <c r="AK3" s="85" t="s">
        <v>274</v>
      </c>
      <c r="AL3" s="85"/>
      <c r="AM3" s="85"/>
      <c r="AN3" s="87">
        <v>43511.154814814814</v>
      </c>
      <c r="AO3" s="85"/>
      <c r="AP3" s="85" t="b">
        <v>1</v>
      </c>
      <c r="AQ3" s="85" t="b">
        <v>0</v>
      </c>
      <c r="AR3" s="85" t="b">
        <v>1</v>
      </c>
      <c r="AS3" s="85" t="s">
        <v>239</v>
      </c>
      <c r="AT3" s="85">
        <v>0</v>
      </c>
      <c r="AU3" s="85"/>
      <c r="AV3" s="85" t="b">
        <v>0</v>
      </c>
      <c r="AW3" s="85" t="s">
        <v>288</v>
      </c>
      <c r="AX3" s="89" t="s">
        <v>289</v>
      </c>
      <c r="AY3" s="85" t="s">
        <v>66</v>
      </c>
      <c r="AZ3" s="85" t="str">
        <f>REPLACE(INDEX(GroupVertices[Group],MATCH(Vertices[[#This Row],[Vertex]],GroupVertices[Vertex],0)),1,1,"")</f>
        <v>3</v>
      </c>
      <c r="BA3" s="51"/>
      <c r="BB3" s="51"/>
      <c r="BC3" s="51"/>
      <c r="BD3" s="51"/>
      <c r="BE3" s="51" t="s">
        <v>223</v>
      </c>
      <c r="BF3" s="51" t="s">
        <v>223</v>
      </c>
      <c r="BG3" s="131" t="s">
        <v>421</v>
      </c>
      <c r="BH3" s="131" t="s">
        <v>421</v>
      </c>
      <c r="BI3" s="131" t="s">
        <v>425</v>
      </c>
      <c r="BJ3" s="131" t="s">
        <v>425</v>
      </c>
      <c r="BK3" s="131">
        <v>0</v>
      </c>
      <c r="BL3" s="134">
        <v>0</v>
      </c>
      <c r="BM3" s="131">
        <v>2</v>
      </c>
      <c r="BN3" s="134">
        <v>4.761904761904762</v>
      </c>
      <c r="BO3" s="131">
        <v>0</v>
      </c>
      <c r="BP3" s="134">
        <v>0</v>
      </c>
      <c r="BQ3" s="131">
        <v>40</v>
      </c>
      <c r="BR3" s="134">
        <v>95.23809523809524</v>
      </c>
      <c r="BS3" s="131">
        <v>42</v>
      </c>
      <c r="BT3" s="3"/>
      <c r="BU3" s="3"/>
    </row>
    <row r="4" spans="1:76" ht="15">
      <c r="A4" s="14" t="s">
        <v>215</v>
      </c>
      <c r="B4" s="15"/>
      <c r="C4" s="15" t="s">
        <v>64</v>
      </c>
      <c r="D4" s="93">
        <v>408.85434455047715</v>
      </c>
      <c r="E4" s="81"/>
      <c r="F4" s="112" t="s">
        <v>285</v>
      </c>
      <c r="G4" s="15"/>
      <c r="H4" s="16" t="s">
        <v>215</v>
      </c>
      <c r="I4" s="66"/>
      <c r="J4" s="66"/>
      <c r="K4" s="114" t="s">
        <v>296</v>
      </c>
      <c r="L4" s="94">
        <v>1</v>
      </c>
      <c r="M4" s="95">
        <v>1731.470703125</v>
      </c>
      <c r="N4" s="95">
        <v>7322.796875</v>
      </c>
      <c r="O4" s="77"/>
      <c r="P4" s="96"/>
      <c r="Q4" s="96"/>
      <c r="R4" s="97"/>
      <c r="S4" s="51">
        <v>1</v>
      </c>
      <c r="T4" s="51">
        <v>0</v>
      </c>
      <c r="U4" s="52">
        <v>0</v>
      </c>
      <c r="V4" s="52">
        <v>1</v>
      </c>
      <c r="W4" s="52">
        <v>0.166667</v>
      </c>
      <c r="X4" s="52">
        <v>0.999907</v>
      </c>
      <c r="Y4" s="52">
        <v>0</v>
      </c>
      <c r="Z4" s="52">
        <v>0</v>
      </c>
      <c r="AA4" s="82">
        <v>4</v>
      </c>
      <c r="AB4" s="82"/>
      <c r="AC4" s="98"/>
      <c r="AD4" s="85" t="s">
        <v>263</v>
      </c>
      <c r="AE4" s="85">
        <v>1402</v>
      </c>
      <c r="AF4" s="85">
        <v>1176</v>
      </c>
      <c r="AG4" s="85">
        <v>187</v>
      </c>
      <c r="AH4" s="85">
        <v>3</v>
      </c>
      <c r="AI4" s="85"/>
      <c r="AJ4" s="85" t="s">
        <v>269</v>
      </c>
      <c r="AK4" s="85"/>
      <c r="AL4" s="89" t="s">
        <v>278</v>
      </c>
      <c r="AM4" s="85"/>
      <c r="AN4" s="87">
        <v>40359.669641203705</v>
      </c>
      <c r="AO4" s="85"/>
      <c r="AP4" s="85" t="b">
        <v>1</v>
      </c>
      <c r="AQ4" s="85" t="b">
        <v>0</v>
      </c>
      <c r="AR4" s="85" t="b">
        <v>0</v>
      </c>
      <c r="AS4" s="85" t="s">
        <v>239</v>
      </c>
      <c r="AT4" s="85">
        <v>28</v>
      </c>
      <c r="AU4" s="89" t="s">
        <v>283</v>
      </c>
      <c r="AV4" s="85" t="b">
        <v>0</v>
      </c>
      <c r="AW4" s="85" t="s">
        <v>288</v>
      </c>
      <c r="AX4" s="89" t="s">
        <v>290</v>
      </c>
      <c r="AY4" s="85" t="s">
        <v>65</v>
      </c>
      <c r="AZ4" s="85" t="str">
        <f>REPLACE(INDEX(GroupVertices[Group],MATCH(Vertices[[#This Row],[Vertex]],GroupVertices[Vertex],0)),1,1,"")</f>
        <v>3</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213</v>
      </c>
      <c r="B5" s="15"/>
      <c r="C5" s="15" t="s">
        <v>64</v>
      </c>
      <c r="D5" s="93">
        <v>1000</v>
      </c>
      <c r="E5" s="81"/>
      <c r="F5" s="112" t="s">
        <v>226</v>
      </c>
      <c r="G5" s="15"/>
      <c r="H5" s="16" t="s">
        <v>213</v>
      </c>
      <c r="I5" s="66"/>
      <c r="J5" s="66"/>
      <c r="K5" s="114" t="s">
        <v>297</v>
      </c>
      <c r="L5" s="94">
        <v>1</v>
      </c>
      <c r="M5" s="95">
        <v>4999.5</v>
      </c>
      <c r="N5" s="95">
        <v>2676.202880859375</v>
      </c>
      <c r="O5" s="77"/>
      <c r="P5" s="96"/>
      <c r="Q5" s="96"/>
      <c r="R5" s="97"/>
      <c r="S5" s="51">
        <v>0</v>
      </c>
      <c r="T5" s="51">
        <v>1</v>
      </c>
      <c r="U5" s="52">
        <v>0</v>
      </c>
      <c r="V5" s="52">
        <v>1</v>
      </c>
      <c r="W5" s="52">
        <v>0.166667</v>
      </c>
      <c r="X5" s="52">
        <v>0.999907</v>
      </c>
      <c r="Y5" s="52">
        <v>0</v>
      </c>
      <c r="Z5" s="52">
        <v>0</v>
      </c>
      <c r="AA5" s="82">
        <v>5</v>
      </c>
      <c r="AB5" s="82"/>
      <c r="AC5" s="98"/>
      <c r="AD5" s="85" t="s">
        <v>264</v>
      </c>
      <c r="AE5" s="85">
        <v>3054</v>
      </c>
      <c r="AF5" s="85">
        <v>3985</v>
      </c>
      <c r="AG5" s="85">
        <v>26327</v>
      </c>
      <c r="AH5" s="85">
        <v>50000</v>
      </c>
      <c r="AI5" s="85"/>
      <c r="AJ5" s="85" t="s">
        <v>270</v>
      </c>
      <c r="AK5" s="85" t="s">
        <v>275</v>
      </c>
      <c r="AL5" s="85"/>
      <c r="AM5" s="85"/>
      <c r="AN5" s="87">
        <v>42852.568773148145</v>
      </c>
      <c r="AO5" s="89" t="s">
        <v>281</v>
      </c>
      <c r="AP5" s="85" t="b">
        <v>1</v>
      </c>
      <c r="AQ5" s="85" t="b">
        <v>0</v>
      </c>
      <c r="AR5" s="85" t="b">
        <v>0</v>
      </c>
      <c r="AS5" s="85" t="s">
        <v>239</v>
      </c>
      <c r="AT5" s="85">
        <v>64</v>
      </c>
      <c r="AU5" s="85"/>
      <c r="AV5" s="85" t="b">
        <v>0</v>
      </c>
      <c r="AW5" s="85" t="s">
        <v>288</v>
      </c>
      <c r="AX5" s="89" t="s">
        <v>291</v>
      </c>
      <c r="AY5" s="85" t="s">
        <v>66</v>
      </c>
      <c r="AZ5" s="85" t="str">
        <f>REPLACE(INDEX(GroupVertices[Group],MATCH(Vertices[[#This Row],[Vertex]],GroupVertices[Vertex],0)),1,1,"")</f>
        <v>2</v>
      </c>
      <c r="BA5" s="51"/>
      <c r="BB5" s="51"/>
      <c r="BC5" s="51"/>
      <c r="BD5" s="51"/>
      <c r="BE5" s="51" t="s">
        <v>224</v>
      </c>
      <c r="BF5" s="51" t="s">
        <v>224</v>
      </c>
      <c r="BG5" s="131" t="s">
        <v>422</v>
      </c>
      <c r="BH5" s="131" t="s">
        <v>422</v>
      </c>
      <c r="BI5" s="131" t="s">
        <v>426</v>
      </c>
      <c r="BJ5" s="131" t="s">
        <v>426</v>
      </c>
      <c r="BK5" s="131">
        <v>1</v>
      </c>
      <c r="BL5" s="134">
        <v>1.9607843137254901</v>
      </c>
      <c r="BM5" s="131">
        <v>0</v>
      </c>
      <c r="BN5" s="134">
        <v>0</v>
      </c>
      <c r="BO5" s="131">
        <v>0</v>
      </c>
      <c r="BP5" s="134">
        <v>0</v>
      </c>
      <c r="BQ5" s="131">
        <v>50</v>
      </c>
      <c r="BR5" s="134">
        <v>98.03921568627452</v>
      </c>
      <c r="BS5" s="131">
        <v>51</v>
      </c>
      <c r="BT5" s="2"/>
      <c r="BU5" s="3"/>
      <c r="BV5" s="3"/>
      <c r="BW5" s="3"/>
      <c r="BX5" s="3"/>
    </row>
    <row r="6" spans="1:76" ht="15">
      <c r="A6" s="14" t="s">
        <v>216</v>
      </c>
      <c r="B6" s="15"/>
      <c r="C6" s="15" t="s">
        <v>64</v>
      </c>
      <c r="D6" s="93">
        <v>229.34304369663485</v>
      </c>
      <c r="E6" s="81"/>
      <c r="F6" s="112" t="s">
        <v>286</v>
      </c>
      <c r="G6" s="15"/>
      <c r="H6" s="16" t="s">
        <v>216</v>
      </c>
      <c r="I6" s="66"/>
      <c r="J6" s="66"/>
      <c r="K6" s="114" t="s">
        <v>298</v>
      </c>
      <c r="L6" s="94">
        <v>1</v>
      </c>
      <c r="M6" s="95">
        <v>4999.5</v>
      </c>
      <c r="N6" s="95">
        <v>7322.796875</v>
      </c>
      <c r="O6" s="77"/>
      <c r="P6" s="96"/>
      <c r="Q6" s="96"/>
      <c r="R6" s="97"/>
      <c r="S6" s="51">
        <v>1</v>
      </c>
      <c r="T6" s="51">
        <v>0</v>
      </c>
      <c r="U6" s="52">
        <v>0</v>
      </c>
      <c r="V6" s="52">
        <v>1</v>
      </c>
      <c r="W6" s="52">
        <v>0.166667</v>
      </c>
      <c r="X6" s="52">
        <v>0.999907</v>
      </c>
      <c r="Y6" s="52">
        <v>0</v>
      </c>
      <c r="Z6" s="52">
        <v>0</v>
      </c>
      <c r="AA6" s="82">
        <v>6</v>
      </c>
      <c r="AB6" s="82"/>
      <c r="AC6" s="98"/>
      <c r="AD6" s="85" t="s">
        <v>265</v>
      </c>
      <c r="AE6" s="85">
        <v>358</v>
      </c>
      <c r="AF6" s="85">
        <v>323</v>
      </c>
      <c r="AG6" s="85">
        <v>4679</v>
      </c>
      <c r="AH6" s="85">
        <v>241</v>
      </c>
      <c r="AI6" s="85"/>
      <c r="AJ6" s="85" t="s">
        <v>271</v>
      </c>
      <c r="AK6" s="85" t="s">
        <v>276</v>
      </c>
      <c r="AL6" s="89" t="s">
        <v>279</v>
      </c>
      <c r="AM6" s="85"/>
      <c r="AN6" s="87">
        <v>41395.089837962965</v>
      </c>
      <c r="AO6" s="85"/>
      <c r="AP6" s="85" t="b">
        <v>1</v>
      </c>
      <c r="AQ6" s="85" t="b">
        <v>0</v>
      </c>
      <c r="AR6" s="85" t="b">
        <v>0</v>
      </c>
      <c r="AS6" s="85" t="s">
        <v>239</v>
      </c>
      <c r="AT6" s="85">
        <v>9</v>
      </c>
      <c r="AU6" s="89" t="s">
        <v>283</v>
      </c>
      <c r="AV6" s="85" t="b">
        <v>0</v>
      </c>
      <c r="AW6" s="85" t="s">
        <v>288</v>
      </c>
      <c r="AX6" s="89" t="s">
        <v>292</v>
      </c>
      <c r="AY6" s="85" t="s">
        <v>65</v>
      </c>
      <c r="AZ6" s="85" t="str">
        <f>REPLACE(INDEX(GroupVertices[Group],MATCH(Vertices[[#This Row],[Vertex]],GroupVertices[Vertex],0)),1,1,"")</f>
        <v>2</v>
      </c>
      <c r="BA6" s="51"/>
      <c r="BB6" s="51"/>
      <c r="BC6" s="51"/>
      <c r="BD6" s="51"/>
      <c r="BE6" s="51"/>
      <c r="BF6" s="51"/>
      <c r="BG6" s="51"/>
      <c r="BH6" s="51"/>
      <c r="BI6" s="51"/>
      <c r="BJ6" s="51"/>
      <c r="BK6" s="51"/>
      <c r="BL6" s="52"/>
      <c r="BM6" s="51"/>
      <c r="BN6" s="52"/>
      <c r="BO6" s="51"/>
      <c r="BP6" s="52"/>
      <c r="BQ6" s="51"/>
      <c r="BR6" s="52"/>
      <c r="BS6" s="51"/>
      <c r="BT6" s="2"/>
      <c r="BU6" s="3"/>
      <c r="BV6" s="3"/>
      <c r="BW6" s="3"/>
      <c r="BX6" s="3"/>
    </row>
    <row r="7" spans="1:76" ht="15">
      <c r="A7" s="14" t="s">
        <v>214</v>
      </c>
      <c r="B7" s="15"/>
      <c r="C7" s="15" t="s">
        <v>64</v>
      </c>
      <c r="D7" s="93">
        <v>1000</v>
      </c>
      <c r="E7" s="81"/>
      <c r="F7" s="112" t="s">
        <v>227</v>
      </c>
      <c r="G7" s="15"/>
      <c r="H7" s="16" t="s">
        <v>214</v>
      </c>
      <c r="I7" s="66"/>
      <c r="J7" s="66"/>
      <c r="K7" s="114" t="s">
        <v>299</v>
      </c>
      <c r="L7" s="94">
        <v>1</v>
      </c>
      <c r="M7" s="95">
        <v>8267.529296875</v>
      </c>
      <c r="N7" s="95">
        <v>2676.202880859375</v>
      </c>
      <c r="O7" s="77"/>
      <c r="P7" s="96"/>
      <c r="Q7" s="96"/>
      <c r="R7" s="97"/>
      <c r="S7" s="51">
        <v>0</v>
      </c>
      <c r="T7" s="51">
        <v>1</v>
      </c>
      <c r="U7" s="52">
        <v>0</v>
      </c>
      <c r="V7" s="52">
        <v>1</v>
      </c>
      <c r="W7" s="52">
        <v>0.166667</v>
      </c>
      <c r="X7" s="52">
        <v>0.999907</v>
      </c>
      <c r="Y7" s="52">
        <v>0</v>
      </c>
      <c r="Z7" s="52">
        <v>0</v>
      </c>
      <c r="AA7" s="82">
        <v>7</v>
      </c>
      <c r="AB7" s="82"/>
      <c r="AC7" s="98"/>
      <c r="AD7" s="85" t="s">
        <v>266</v>
      </c>
      <c r="AE7" s="85">
        <v>151</v>
      </c>
      <c r="AF7" s="85">
        <v>62821</v>
      </c>
      <c r="AG7" s="85">
        <v>51712</v>
      </c>
      <c r="AH7" s="85">
        <v>11164</v>
      </c>
      <c r="AI7" s="85"/>
      <c r="AJ7" s="85" t="s">
        <v>272</v>
      </c>
      <c r="AK7" s="85"/>
      <c r="AL7" s="89" t="s">
        <v>280</v>
      </c>
      <c r="AM7" s="85"/>
      <c r="AN7" s="87">
        <v>39926.68145833333</v>
      </c>
      <c r="AO7" s="89" t="s">
        <v>282</v>
      </c>
      <c r="AP7" s="85" t="b">
        <v>0</v>
      </c>
      <c r="AQ7" s="85" t="b">
        <v>0</v>
      </c>
      <c r="AR7" s="85" t="b">
        <v>0</v>
      </c>
      <c r="AS7" s="85" t="s">
        <v>239</v>
      </c>
      <c r="AT7" s="85">
        <v>2354</v>
      </c>
      <c r="AU7" s="89" t="s">
        <v>283</v>
      </c>
      <c r="AV7" s="85" t="b">
        <v>1</v>
      </c>
      <c r="AW7" s="85" t="s">
        <v>288</v>
      </c>
      <c r="AX7" s="89" t="s">
        <v>293</v>
      </c>
      <c r="AY7" s="85" t="s">
        <v>66</v>
      </c>
      <c r="AZ7" s="85" t="str">
        <f>REPLACE(INDEX(GroupVertices[Group],MATCH(Vertices[[#This Row],[Vertex]],GroupVertices[Vertex],0)),1,1,"")</f>
        <v>1</v>
      </c>
      <c r="BA7" s="51"/>
      <c r="BB7" s="51"/>
      <c r="BC7" s="51"/>
      <c r="BD7" s="51"/>
      <c r="BE7" s="51"/>
      <c r="BF7" s="51"/>
      <c r="BG7" s="131" t="s">
        <v>217</v>
      </c>
      <c r="BH7" s="131" t="s">
        <v>217</v>
      </c>
      <c r="BI7" s="131" t="s">
        <v>427</v>
      </c>
      <c r="BJ7" s="131" t="s">
        <v>427</v>
      </c>
      <c r="BK7" s="131">
        <v>0</v>
      </c>
      <c r="BL7" s="134">
        <v>0</v>
      </c>
      <c r="BM7" s="131">
        <v>0</v>
      </c>
      <c r="BN7" s="134">
        <v>0</v>
      </c>
      <c r="BO7" s="131">
        <v>0</v>
      </c>
      <c r="BP7" s="134">
        <v>0</v>
      </c>
      <c r="BQ7" s="131">
        <v>5</v>
      </c>
      <c r="BR7" s="134">
        <v>100</v>
      </c>
      <c r="BS7" s="131">
        <v>5</v>
      </c>
      <c r="BT7" s="2"/>
      <c r="BU7" s="3"/>
      <c r="BV7" s="3"/>
      <c r="BW7" s="3"/>
      <c r="BX7" s="3"/>
    </row>
    <row r="8" spans="1:76" ht="15">
      <c r="A8" s="99" t="s">
        <v>217</v>
      </c>
      <c r="B8" s="100"/>
      <c r="C8" s="100" t="s">
        <v>64</v>
      </c>
      <c r="D8" s="101">
        <v>296.47564038171777</v>
      </c>
      <c r="E8" s="102"/>
      <c r="F8" s="113" t="s">
        <v>287</v>
      </c>
      <c r="G8" s="100"/>
      <c r="H8" s="103" t="s">
        <v>217</v>
      </c>
      <c r="I8" s="104"/>
      <c r="J8" s="104"/>
      <c r="K8" s="115" t="s">
        <v>300</v>
      </c>
      <c r="L8" s="105">
        <v>1</v>
      </c>
      <c r="M8" s="106">
        <v>8267.529296875</v>
      </c>
      <c r="N8" s="106">
        <v>7322.796875</v>
      </c>
      <c r="O8" s="107"/>
      <c r="P8" s="108"/>
      <c r="Q8" s="108"/>
      <c r="R8" s="109"/>
      <c r="S8" s="51">
        <v>1</v>
      </c>
      <c r="T8" s="51">
        <v>0</v>
      </c>
      <c r="U8" s="52">
        <v>0</v>
      </c>
      <c r="V8" s="52">
        <v>1</v>
      </c>
      <c r="W8" s="52">
        <v>0.166667</v>
      </c>
      <c r="X8" s="52">
        <v>0.999907</v>
      </c>
      <c r="Y8" s="52">
        <v>0</v>
      </c>
      <c r="Z8" s="52">
        <v>0</v>
      </c>
      <c r="AA8" s="110">
        <v>8</v>
      </c>
      <c r="AB8" s="110"/>
      <c r="AC8" s="111"/>
      <c r="AD8" s="85" t="s">
        <v>267</v>
      </c>
      <c r="AE8" s="85">
        <v>701</v>
      </c>
      <c r="AF8" s="85">
        <v>642</v>
      </c>
      <c r="AG8" s="85">
        <v>78127</v>
      </c>
      <c r="AH8" s="85">
        <v>7867</v>
      </c>
      <c r="AI8" s="85"/>
      <c r="AJ8" s="85" t="s">
        <v>273</v>
      </c>
      <c r="AK8" s="85" t="s">
        <v>277</v>
      </c>
      <c r="AL8" s="85"/>
      <c r="AM8" s="85"/>
      <c r="AN8" s="87">
        <v>40535.94755787037</v>
      </c>
      <c r="AO8" s="85"/>
      <c r="AP8" s="85" t="b">
        <v>0</v>
      </c>
      <c r="AQ8" s="85" t="b">
        <v>0</v>
      </c>
      <c r="AR8" s="85" t="b">
        <v>0</v>
      </c>
      <c r="AS8" s="85" t="s">
        <v>239</v>
      </c>
      <c r="AT8" s="85">
        <v>97</v>
      </c>
      <c r="AU8" s="89" t="s">
        <v>284</v>
      </c>
      <c r="AV8" s="85" t="b">
        <v>0</v>
      </c>
      <c r="AW8" s="85" t="s">
        <v>288</v>
      </c>
      <c r="AX8" s="89" t="s">
        <v>294</v>
      </c>
      <c r="AY8" s="85" t="s">
        <v>65</v>
      </c>
      <c r="AZ8" s="85" t="str">
        <f>REPLACE(INDEX(GroupVertices[Group],MATCH(Vertices[[#This Row],[Vertex]],GroupVertices[Vertex],0)),1,1,"")</f>
        <v>1</v>
      </c>
      <c r="BA8" s="51"/>
      <c r="BB8" s="51"/>
      <c r="BC8" s="51"/>
      <c r="BD8" s="51"/>
      <c r="BE8" s="51"/>
      <c r="BF8" s="51"/>
      <c r="BG8" s="51"/>
      <c r="BH8" s="51"/>
      <c r="BI8" s="51"/>
      <c r="BJ8" s="51"/>
      <c r="BK8" s="51"/>
      <c r="BL8" s="52"/>
      <c r="BM8" s="51"/>
      <c r="BN8" s="52"/>
      <c r="BO8" s="51"/>
      <c r="BP8" s="52"/>
      <c r="BQ8" s="51"/>
      <c r="BR8" s="52"/>
      <c r="BS8" s="51"/>
      <c r="BT8" s="2"/>
      <c r="BU8" s="3"/>
      <c r="BV8" s="3"/>
      <c r="BW8" s="3"/>
      <c r="BX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Image File" prompt="Enter the path to an image file.  Hover over the column header for examples." errorTitle="Invalid Vertex Image Key" sqref="F3:F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s>
  <hyperlinks>
    <hyperlink ref="AL4" r:id="rId1" display="http://t.co/UfSFUUgwyg"/>
    <hyperlink ref="AL6" r:id="rId2" display="https://t.co/WZddr65lXP"/>
    <hyperlink ref="AL7" r:id="rId3" display="https://t.co/1Fj3cJHc8a"/>
    <hyperlink ref="AO5" r:id="rId4" display="https://pbs.twimg.com/profile_banners/857589911511281664/1542463593"/>
    <hyperlink ref="AO7" r:id="rId5" display="https://pbs.twimg.com/profile_banners/34654972/1555128432"/>
    <hyperlink ref="AU4" r:id="rId6" display="http://abs.twimg.com/images/themes/theme1/bg.png"/>
    <hyperlink ref="AU6" r:id="rId7" display="http://abs.twimg.com/images/themes/theme1/bg.png"/>
    <hyperlink ref="AU7" r:id="rId8" display="http://abs.twimg.com/images/themes/theme1/bg.png"/>
    <hyperlink ref="AU8" r:id="rId9" display="http://abs.twimg.com/images/themes/theme12/bg.gif"/>
    <hyperlink ref="F3" r:id="rId10" display="http://pbs.twimg.com/profile_images/1125500068889538560/3uXEGNwd_normal.jpg"/>
    <hyperlink ref="F4" r:id="rId11" display="http://pbs.twimg.com/profile_images/2649114687/fc8ae2aee10d4e78c9443e2325d87135_normal.jpeg"/>
    <hyperlink ref="F5" r:id="rId12" display="http://pbs.twimg.com/profile_images/1063796751549624320/8pKZ9rsh_normal.jpg"/>
    <hyperlink ref="F6" r:id="rId13" display="http://pbs.twimg.com/profile_images/1083797601495977985/CTwixNYz_normal.jpg"/>
    <hyperlink ref="F7" r:id="rId14" display="http://pbs.twimg.com/profile_images/1079893487489822721/A9MqRsIp_normal.jpg"/>
    <hyperlink ref="F8" r:id="rId15" display="http://pbs.twimg.com/profile_images/1119745145950355456/H73y9NVT_normal.jpg"/>
    <hyperlink ref="AX3" r:id="rId16" display="https://twitter.com/tsimon12646663"/>
    <hyperlink ref="AX4" r:id="rId17" display="https://twitter.com/thegivingpledge"/>
    <hyperlink ref="AX5" r:id="rId18" display="https://twitter.com/mahealthforkids"/>
    <hyperlink ref="AX6" r:id="rId19" display="https://twitter.com/ebasilion"/>
    <hyperlink ref="AX7" r:id="rId20" display="https://twitter.com/biggayicecream"/>
    <hyperlink ref="AX8" r:id="rId21" display="https://twitter.com/suzyquzey"/>
  </hyperlinks>
  <printOptions/>
  <pageMargins left="0.7" right="0.7" top="0.75" bottom="0.75" header="0.3" footer="0.3"/>
  <pageSetup horizontalDpi="600" verticalDpi="600" orientation="portrait" r:id="rId25"/>
  <legacyDrawing r:id="rId23"/>
  <tableParts>
    <tablePart r:id="rId2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365</v>
      </c>
      <c r="Z2" s="13" t="s">
        <v>370</v>
      </c>
      <c r="AA2" s="13" t="s">
        <v>376</v>
      </c>
      <c r="AB2" s="13" t="s">
        <v>389</v>
      </c>
      <c r="AC2" s="13" t="s">
        <v>395</v>
      </c>
      <c r="AD2" s="13" t="s">
        <v>404</v>
      </c>
      <c r="AE2" s="13" t="s">
        <v>405</v>
      </c>
      <c r="AF2" s="13" t="s">
        <v>410</v>
      </c>
      <c r="AG2" s="67" t="s">
        <v>445</v>
      </c>
      <c r="AH2" s="67" t="s">
        <v>446</v>
      </c>
      <c r="AI2" s="67" t="s">
        <v>447</v>
      </c>
      <c r="AJ2" s="67" t="s">
        <v>448</v>
      </c>
      <c r="AK2" s="67" t="s">
        <v>449</v>
      </c>
      <c r="AL2" s="67" t="s">
        <v>450</v>
      </c>
      <c r="AM2" s="67" t="s">
        <v>451</v>
      </c>
      <c r="AN2" s="67" t="s">
        <v>452</v>
      </c>
      <c r="AO2" s="67" t="s">
        <v>455</v>
      </c>
    </row>
    <row r="3" spans="1:41" ht="15">
      <c r="A3" s="125" t="s">
        <v>340</v>
      </c>
      <c r="B3" s="126" t="s">
        <v>343</v>
      </c>
      <c r="C3" s="126" t="s">
        <v>56</v>
      </c>
      <c r="D3" s="117"/>
      <c r="E3" s="116"/>
      <c r="F3" s="118" t="s">
        <v>340</v>
      </c>
      <c r="G3" s="119"/>
      <c r="H3" s="119"/>
      <c r="I3" s="120">
        <v>3</v>
      </c>
      <c r="J3" s="121"/>
      <c r="K3" s="51">
        <v>2</v>
      </c>
      <c r="L3" s="51">
        <v>1</v>
      </c>
      <c r="M3" s="51">
        <v>0</v>
      </c>
      <c r="N3" s="51">
        <v>1</v>
      </c>
      <c r="O3" s="51">
        <v>0</v>
      </c>
      <c r="P3" s="52">
        <v>0</v>
      </c>
      <c r="Q3" s="52">
        <v>0</v>
      </c>
      <c r="R3" s="51">
        <v>1</v>
      </c>
      <c r="S3" s="51">
        <v>0</v>
      </c>
      <c r="T3" s="51">
        <v>2</v>
      </c>
      <c r="U3" s="51">
        <v>1</v>
      </c>
      <c r="V3" s="51">
        <v>1</v>
      </c>
      <c r="W3" s="52">
        <v>0.5</v>
      </c>
      <c r="X3" s="52">
        <v>0.5</v>
      </c>
      <c r="Y3" s="85"/>
      <c r="Z3" s="85"/>
      <c r="AA3" s="85"/>
      <c r="AB3" s="91" t="s">
        <v>236</v>
      </c>
      <c r="AC3" s="91" t="s">
        <v>236</v>
      </c>
      <c r="AD3" s="91" t="s">
        <v>217</v>
      </c>
      <c r="AE3" s="91"/>
      <c r="AF3" s="91" t="s">
        <v>411</v>
      </c>
      <c r="AG3" s="131">
        <v>0</v>
      </c>
      <c r="AH3" s="134">
        <v>0</v>
      </c>
      <c r="AI3" s="131">
        <v>0</v>
      </c>
      <c r="AJ3" s="134">
        <v>0</v>
      </c>
      <c r="AK3" s="131">
        <v>0</v>
      </c>
      <c r="AL3" s="134">
        <v>0</v>
      </c>
      <c r="AM3" s="131">
        <v>5</v>
      </c>
      <c r="AN3" s="134">
        <v>100</v>
      </c>
      <c r="AO3" s="131">
        <v>5</v>
      </c>
    </row>
    <row r="4" spans="1:41" ht="15">
      <c r="A4" s="125" t="s">
        <v>341</v>
      </c>
      <c r="B4" s="126" t="s">
        <v>344</v>
      </c>
      <c r="C4" s="126" t="s">
        <v>56</v>
      </c>
      <c r="D4" s="122"/>
      <c r="E4" s="100"/>
      <c r="F4" s="103" t="s">
        <v>461</v>
      </c>
      <c r="G4" s="107"/>
      <c r="H4" s="107"/>
      <c r="I4" s="123">
        <v>4</v>
      </c>
      <c r="J4" s="110"/>
      <c r="K4" s="51">
        <v>2</v>
      </c>
      <c r="L4" s="51">
        <v>1</v>
      </c>
      <c r="M4" s="51">
        <v>0</v>
      </c>
      <c r="N4" s="51">
        <v>1</v>
      </c>
      <c r="O4" s="51">
        <v>0</v>
      </c>
      <c r="P4" s="52">
        <v>0</v>
      </c>
      <c r="Q4" s="52">
        <v>0</v>
      </c>
      <c r="R4" s="51">
        <v>1</v>
      </c>
      <c r="S4" s="51">
        <v>0</v>
      </c>
      <c r="T4" s="51">
        <v>2</v>
      </c>
      <c r="U4" s="51">
        <v>1</v>
      </c>
      <c r="V4" s="51">
        <v>1</v>
      </c>
      <c r="W4" s="52">
        <v>0.5</v>
      </c>
      <c r="X4" s="52">
        <v>0.5</v>
      </c>
      <c r="Y4" s="85"/>
      <c r="Z4" s="85"/>
      <c r="AA4" s="85" t="s">
        <v>224</v>
      </c>
      <c r="AB4" s="91" t="s">
        <v>390</v>
      </c>
      <c r="AC4" s="91" t="s">
        <v>236</v>
      </c>
      <c r="AD4" s="91" t="s">
        <v>216</v>
      </c>
      <c r="AE4" s="91"/>
      <c r="AF4" s="91" t="s">
        <v>412</v>
      </c>
      <c r="AG4" s="131">
        <v>1</v>
      </c>
      <c r="AH4" s="134">
        <v>1.9607843137254901</v>
      </c>
      <c r="AI4" s="131">
        <v>0</v>
      </c>
      <c r="AJ4" s="134">
        <v>0</v>
      </c>
      <c r="AK4" s="131">
        <v>0</v>
      </c>
      <c r="AL4" s="134">
        <v>0</v>
      </c>
      <c r="AM4" s="131">
        <v>50</v>
      </c>
      <c r="AN4" s="134">
        <v>98.03921568627452</v>
      </c>
      <c r="AO4" s="131">
        <v>51</v>
      </c>
    </row>
    <row r="5" spans="1:41" ht="15">
      <c r="A5" s="125" t="s">
        <v>342</v>
      </c>
      <c r="B5" s="126" t="s">
        <v>345</v>
      </c>
      <c r="C5" s="126" t="s">
        <v>56</v>
      </c>
      <c r="D5" s="122"/>
      <c r="E5" s="100"/>
      <c r="F5" s="103" t="s">
        <v>342</v>
      </c>
      <c r="G5" s="107"/>
      <c r="H5" s="107"/>
      <c r="I5" s="123">
        <v>5</v>
      </c>
      <c r="J5" s="110"/>
      <c r="K5" s="51">
        <v>2</v>
      </c>
      <c r="L5" s="51">
        <v>1</v>
      </c>
      <c r="M5" s="51">
        <v>0</v>
      </c>
      <c r="N5" s="51">
        <v>1</v>
      </c>
      <c r="O5" s="51">
        <v>0</v>
      </c>
      <c r="P5" s="52">
        <v>0</v>
      </c>
      <c r="Q5" s="52">
        <v>0</v>
      </c>
      <c r="R5" s="51">
        <v>1</v>
      </c>
      <c r="S5" s="51">
        <v>0</v>
      </c>
      <c r="T5" s="51">
        <v>2</v>
      </c>
      <c r="U5" s="51">
        <v>1</v>
      </c>
      <c r="V5" s="51">
        <v>1</v>
      </c>
      <c r="W5" s="52">
        <v>0.5</v>
      </c>
      <c r="X5" s="52">
        <v>0.5</v>
      </c>
      <c r="Y5" s="85"/>
      <c r="Z5" s="85"/>
      <c r="AA5" s="85" t="s">
        <v>223</v>
      </c>
      <c r="AB5" s="91" t="s">
        <v>236</v>
      </c>
      <c r="AC5" s="91" t="s">
        <v>236</v>
      </c>
      <c r="AD5" s="91"/>
      <c r="AE5" s="91" t="s">
        <v>215</v>
      </c>
      <c r="AF5" s="91" t="s">
        <v>413</v>
      </c>
      <c r="AG5" s="131">
        <v>0</v>
      </c>
      <c r="AH5" s="134">
        <v>0</v>
      </c>
      <c r="AI5" s="131">
        <v>2</v>
      </c>
      <c r="AJ5" s="134">
        <v>4.761904761904762</v>
      </c>
      <c r="AK5" s="131">
        <v>0</v>
      </c>
      <c r="AL5" s="134">
        <v>0</v>
      </c>
      <c r="AM5" s="131">
        <v>40</v>
      </c>
      <c r="AN5" s="134">
        <v>95.23809523809524</v>
      </c>
      <c r="AO5" s="131">
        <v>42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340</v>
      </c>
      <c r="B2" s="91" t="s">
        <v>214</v>
      </c>
      <c r="C2" s="85">
        <f>VLOOKUP(GroupVertices[[#This Row],[Vertex]],Vertices[],MATCH("ID",Vertices[[#Headers],[Vertex]:[Vertex Content Word Count]],0),FALSE)</f>
        <v>7</v>
      </c>
    </row>
    <row r="3" spans="1:3" ht="15">
      <c r="A3" s="85" t="s">
        <v>340</v>
      </c>
      <c r="B3" s="91" t="s">
        <v>217</v>
      </c>
      <c r="C3" s="85">
        <f>VLOOKUP(GroupVertices[[#This Row],[Vertex]],Vertices[],MATCH("ID",Vertices[[#Headers],[Vertex]:[Vertex Content Word Count]],0),FALSE)</f>
        <v>8</v>
      </c>
    </row>
    <row r="4" spans="1:3" ht="15">
      <c r="A4" s="85" t="s">
        <v>341</v>
      </c>
      <c r="B4" s="91" t="s">
        <v>213</v>
      </c>
      <c r="C4" s="85">
        <f>VLOOKUP(GroupVertices[[#This Row],[Vertex]],Vertices[],MATCH("ID",Vertices[[#Headers],[Vertex]:[Vertex Content Word Count]],0),FALSE)</f>
        <v>5</v>
      </c>
    </row>
    <row r="5" spans="1:3" ht="15">
      <c r="A5" s="85" t="s">
        <v>341</v>
      </c>
      <c r="B5" s="91" t="s">
        <v>216</v>
      </c>
      <c r="C5" s="85">
        <f>VLOOKUP(GroupVertices[[#This Row],[Vertex]],Vertices[],MATCH("ID",Vertices[[#Headers],[Vertex]:[Vertex Content Word Count]],0),FALSE)</f>
        <v>6</v>
      </c>
    </row>
    <row r="6" spans="1:3" ht="15">
      <c r="A6" s="85" t="s">
        <v>342</v>
      </c>
      <c r="B6" s="91" t="s">
        <v>212</v>
      </c>
      <c r="C6" s="85">
        <f>VLOOKUP(GroupVertices[[#This Row],[Vertex]],Vertices[],MATCH("ID",Vertices[[#Headers],[Vertex]:[Vertex Content Word Count]],0),FALSE)</f>
        <v>3</v>
      </c>
    </row>
    <row r="7" spans="1:3" ht="15">
      <c r="A7" s="85" t="s">
        <v>342</v>
      </c>
      <c r="B7" s="91" t="s">
        <v>215</v>
      </c>
      <c r="C7" s="85">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352</v>
      </c>
      <c r="B2" s="36" t="s">
        <v>301</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0</v>
      </c>
      <c r="L2" s="39">
        <f>MIN(Vertices[Closeness Centrality])</f>
        <v>1</v>
      </c>
      <c r="M2" s="40">
        <f>COUNTIF(Vertices[Closeness Centrality],"&gt;= "&amp;L2)-COUNTIF(Vertices[Closeness Centrality],"&gt;="&amp;L3)</f>
        <v>0</v>
      </c>
      <c r="N2" s="39">
        <f>MIN(Vertices[Eigenvector Centrality])</f>
        <v>0.166667</v>
      </c>
      <c r="O2" s="40">
        <f>COUNTIF(Vertices[Eigenvector Centrality],"&gt;= "&amp;N2)-COUNTIF(Vertices[Eigenvector Centrality],"&gt;="&amp;N3)</f>
        <v>0</v>
      </c>
      <c r="P2" s="39">
        <f>MIN(Vertices[PageRank])</f>
        <v>0.999907</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0.01818181818181818</v>
      </c>
      <c r="G3" s="42">
        <f>COUNTIF(Vertices[In-Degree],"&gt;= "&amp;F3)-COUNTIF(Vertices[In-Degree],"&gt;="&amp;F4)</f>
        <v>0</v>
      </c>
      <c r="H3" s="41">
        <f aca="true" t="shared" si="3" ref="H3:H26">H2+($H$57-$H$2)/BinDivisor</f>
        <v>0.01818181818181818</v>
      </c>
      <c r="I3" s="42">
        <f>COUNTIF(Vertices[Out-Degree],"&gt;= "&amp;H3)-COUNTIF(Vertices[Out-Degree],"&gt;="&amp;H4)</f>
        <v>0</v>
      </c>
      <c r="J3" s="41">
        <f aca="true" t="shared" si="4" ref="J3:J26">J2+($J$57-$J$2)/BinDivisor</f>
        <v>0</v>
      </c>
      <c r="K3" s="42">
        <f>COUNTIF(Vertices[Betweenness Centrality],"&gt;= "&amp;J3)-COUNTIF(Vertices[Betweenness Centrality],"&gt;="&amp;J4)</f>
        <v>0</v>
      </c>
      <c r="L3" s="41">
        <f aca="true" t="shared" si="5" ref="L3:L26">L2+($L$57-$L$2)/BinDivisor</f>
        <v>1</v>
      </c>
      <c r="M3" s="42">
        <f>COUNTIF(Vertices[Closeness Centrality],"&gt;= "&amp;L3)-COUNTIF(Vertices[Closeness Centrality],"&gt;="&amp;L4)</f>
        <v>0</v>
      </c>
      <c r="N3" s="41">
        <f aca="true" t="shared" si="6" ref="N3:N26">N2+($N$57-$N$2)/BinDivisor</f>
        <v>0.166667</v>
      </c>
      <c r="O3" s="42">
        <f>COUNTIF(Vertices[Eigenvector Centrality],"&gt;= "&amp;N3)-COUNTIF(Vertices[Eigenvector Centrality],"&gt;="&amp;N4)</f>
        <v>0</v>
      </c>
      <c r="P3" s="41">
        <f aca="true" t="shared" si="7" ref="P3:P26">P2+($P$57-$P$2)/BinDivisor</f>
        <v>0.999907</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6</v>
      </c>
      <c r="D4" s="34">
        <f t="shared" si="1"/>
        <v>0</v>
      </c>
      <c r="E4" s="3">
        <f>COUNTIF(Vertices[Degree],"&gt;= "&amp;D4)-COUNTIF(Vertices[Degree],"&gt;="&amp;D5)</f>
        <v>0</v>
      </c>
      <c r="F4" s="39">
        <f t="shared" si="2"/>
        <v>0.03636363636363636</v>
      </c>
      <c r="G4" s="40">
        <f>COUNTIF(Vertices[In-Degree],"&gt;= "&amp;F4)-COUNTIF(Vertices[In-Degree],"&gt;="&amp;F5)</f>
        <v>0</v>
      </c>
      <c r="H4" s="39">
        <f t="shared" si="3"/>
        <v>0.03636363636363636</v>
      </c>
      <c r="I4" s="40">
        <f>COUNTIF(Vertices[Out-Degree],"&gt;= "&amp;H4)-COUNTIF(Vertices[Out-Degree],"&gt;="&amp;H5)</f>
        <v>0</v>
      </c>
      <c r="J4" s="39">
        <f t="shared" si="4"/>
        <v>0</v>
      </c>
      <c r="K4" s="40">
        <f>COUNTIF(Vertices[Betweenness Centrality],"&gt;= "&amp;J4)-COUNTIF(Vertices[Betweenness Centrality],"&gt;="&amp;J5)</f>
        <v>0</v>
      </c>
      <c r="L4" s="39">
        <f t="shared" si="5"/>
        <v>1</v>
      </c>
      <c r="M4" s="40">
        <f>COUNTIF(Vertices[Closeness Centrality],"&gt;= "&amp;L4)-COUNTIF(Vertices[Closeness Centrality],"&gt;="&amp;L5)</f>
        <v>0</v>
      </c>
      <c r="N4" s="39">
        <f t="shared" si="6"/>
        <v>0.166667</v>
      </c>
      <c r="O4" s="40">
        <f>COUNTIF(Vertices[Eigenvector Centrality],"&gt;= "&amp;N4)-COUNTIF(Vertices[Eigenvector Centrality],"&gt;="&amp;N5)</f>
        <v>0</v>
      </c>
      <c r="P4" s="39">
        <f t="shared" si="7"/>
        <v>0.999907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0.05454545454545454</v>
      </c>
      <c r="G5" s="42">
        <f>COUNTIF(Vertices[In-Degree],"&gt;= "&amp;F5)-COUNTIF(Vertices[In-Degree],"&gt;="&amp;F6)</f>
        <v>0</v>
      </c>
      <c r="H5" s="41">
        <f t="shared" si="3"/>
        <v>0.05454545454545454</v>
      </c>
      <c r="I5" s="42">
        <f>COUNTIF(Vertices[Out-Degree],"&gt;= "&amp;H5)-COUNTIF(Vertices[Out-Degree],"&gt;="&amp;H6)</f>
        <v>0</v>
      </c>
      <c r="J5" s="41">
        <f t="shared" si="4"/>
        <v>0</v>
      </c>
      <c r="K5" s="42">
        <f>COUNTIF(Vertices[Betweenness Centrality],"&gt;= "&amp;J5)-COUNTIF(Vertices[Betweenness Centrality],"&gt;="&amp;J6)</f>
        <v>0</v>
      </c>
      <c r="L5" s="41">
        <f t="shared" si="5"/>
        <v>1</v>
      </c>
      <c r="M5" s="42">
        <f>COUNTIF(Vertices[Closeness Centrality],"&gt;= "&amp;L5)-COUNTIF(Vertices[Closeness Centrality],"&gt;="&amp;L6)</f>
        <v>0</v>
      </c>
      <c r="N5" s="41">
        <f t="shared" si="6"/>
        <v>0.166667</v>
      </c>
      <c r="O5" s="42">
        <f>COUNTIF(Vertices[Eigenvector Centrality],"&gt;= "&amp;N5)-COUNTIF(Vertices[Eigenvector Centrality],"&gt;="&amp;N6)</f>
        <v>0</v>
      </c>
      <c r="P5" s="41">
        <f t="shared" si="7"/>
        <v>0.999907</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3</v>
      </c>
      <c r="D6" s="34">
        <f t="shared" si="1"/>
        <v>0</v>
      </c>
      <c r="E6" s="3">
        <f>COUNTIF(Vertices[Degree],"&gt;= "&amp;D6)-COUNTIF(Vertices[Degree],"&gt;="&amp;D7)</f>
        <v>0</v>
      </c>
      <c r="F6" s="39">
        <f t="shared" si="2"/>
        <v>0.07272727272727272</v>
      </c>
      <c r="G6" s="40">
        <f>COUNTIF(Vertices[In-Degree],"&gt;= "&amp;F6)-COUNTIF(Vertices[In-Degree],"&gt;="&amp;F7)</f>
        <v>0</v>
      </c>
      <c r="H6" s="39">
        <f t="shared" si="3"/>
        <v>0.07272727272727272</v>
      </c>
      <c r="I6" s="40">
        <f>COUNTIF(Vertices[Out-Degree],"&gt;= "&amp;H6)-COUNTIF(Vertices[Out-Degree],"&gt;="&amp;H7)</f>
        <v>0</v>
      </c>
      <c r="J6" s="39">
        <f t="shared" si="4"/>
        <v>0</v>
      </c>
      <c r="K6" s="40">
        <f>COUNTIF(Vertices[Betweenness Centrality],"&gt;= "&amp;J6)-COUNTIF(Vertices[Betweenness Centrality],"&gt;="&amp;J7)</f>
        <v>0</v>
      </c>
      <c r="L6" s="39">
        <f t="shared" si="5"/>
        <v>1</v>
      </c>
      <c r="M6" s="40">
        <f>COUNTIF(Vertices[Closeness Centrality],"&gt;= "&amp;L6)-COUNTIF(Vertices[Closeness Centrality],"&gt;="&amp;L7)</f>
        <v>0</v>
      </c>
      <c r="N6" s="39">
        <f t="shared" si="6"/>
        <v>0.166667</v>
      </c>
      <c r="O6" s="40">
        <f>COUNTIF(Vertices[Eigenvector Centrality],"&gt;= "&amp;N6)-COUNTIF(Vertices[Eigenvector Centrality],"&gt;="&amp;N7)</f>
        <v>0</v>
      </c>
      <c r="P6" s="39">
        <f t="shared" si="7"/>
        <v>0.999907</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0.09090909090909091</v>
      </c>
      <c r="G7" s="42">
        <f>COUNTIF(Vertices[In-Degree],"&gt;= "&amp;F7)-COUNTIF(Vertices[In-Degree],"&gt;="&amp;F8)</f>
        <v>0</v>
      </c>
      <c r="H7" s="41">
        <f t="shared" si="3"/>
        <v>0.09090909090909091</v>
      </c>
      <c r="I7" s="42">
        <f>COUNTIF(Vertices[Out-Degree],"&gt;= "&amp;H7)-COUNTIF(Vertices[Out-Degree],"&gt;="&amp;H8)</f>
        <v>0</v>
      </c>
      <c r="J7" s="41">
        <f t="shared" si="4"/>
        <v>0</v>
      </c>
      <c r="K7" s="42">
        <f>COUNTIF(Vertices[Betweenness Centrality],"&gt;= "&amp;J7)-COUNTIF(Vertices[Betweenness Centrality],"&gt;="&amp;J8)</f>
        <v>0</v>
      </c>
      <c r="L7" s="41">
        <f t="shared" si="5"/>
        <v>1</v>
      </c>
      <c r="M7" s="42">
        <f>COUNTIF(Vertices[Closeness Centrality],"&gt;= "&amp;L7)-COUNTIF(Vertices[Closeness Centrality],"&gt;="&amp;L8)</f>
        <v>0</v>
      </c>
      <c r="N7" s="41">
        <f t="shared" si="6"/>
        <v>0.166667</v>
      </c>
      <c r="O7" s="42">
        <f>COUNTIF(Vertices[Eigenvector Centrality],"&gt;= "&amp;N7)-COUNTIF(Vertices[Eigenvector Centrality],"&gt;="&amp;N8)</f>
        <v>0</v>
      </c>
      <c r="P7" s="41">
        <f t="shared" si="7"/>
        <v>0.999907</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3</v>
      </c>
      <c r="D8" s="34">
        <f t="shared" si="1"/>
        <v>0</v>
      </c>
      <c r="E8" s="3">
        <f>COUNTIF(Vertices[Degree],"&gt;= "&amp;D8)-COUNTIF(Vertices[Degree],"&gt;="&amp;D9)</f>
        <v>0</v>
      </c>
      <c r="F8" s="39">
        <f t="shared" si="2"/>
        <v>0.1090909090909091</v>
      </c>
      <c r="G8" s="40">
        <f>COUNTIF(Vertices[In-Degree],"&gt;= "&amp;F8)-COUNTIF(Vertices[In-Degree],"&gt;="&amp;F9)</f>
        <v>0</v>
      </c>
      <c r="H8" s="39">
        <f t="shared" si="3"/>
        <v>0.1090909090909091</v>
      </c>
      <c r="I8" s="40">
        <f>COUNTIF(Vertices[Out-Degree],"&gt;= "&amp;H8)-COUNTIF(Vertices[Out-Degree],"&gt;="&amp;H9)</f>
        <v>0</v>
      </c>
      <c r="J8" s="39">
        <f t="shared" si="4"/>
        <v>0</v>
      </c>
      <c r="K8" s="40">
        <f>COUNTIF(Vertices[Betweenness Centrality],"&gt;= "&amp;J8)-COUNTIF(Vertices[Betweenness Centrality],"&gt;="&amp;J9)</f>
        <v>0</v>
      </c>
      <c r="L8" s="39">
        <f t="shared" si="5"/>
        <v>1</v>
      </c>
      <c r="M8" s="40">
        <f>COUNTIF(Vertices[Closeness Centrality],"&gt;= "&amp;L8)-COUNTIF(Vertices[Closeness Centrality],"&gt;="&amp;L9)</f>
        <v>0</v>
      </c>
      <c r="N8" s="39">
        <f t="shared" si="6"/>
        <v>0.166667</v>
      </c>
      <c r="O8" s="40">
        <f>COUNTIF(Vertices[Eigenvector Centrality],"&gt;= "&amp;N8)-COUNTIF(Vertices[Eigenvector Centrality],"&gt;="&amp;N9)</f>
        <v>0</v>
      </c>
      <c r="P8" s="39">
        <f t="shared" si="7"/>
        <v>0.999907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0.1272727272727273</v>
      </c>
      <c r="G9" s="42">
        <f>COUNTIF(Vertices[In-Degree],"&gt;= "&amp;F9)-COUNTIF(Vertices[In-Degree],"&gt;="&amp;F10)</f>
        <v>0</v>
      </c>
      <c r="H9" s="41">
        <f t="shared" si="3"/>
        <v>0.1272727272727273</v>
      </c>
      <c r="I9" s="42">
        <f>COUNTIF(Vertices[Out-Degree],"&gt;= "&amp;H9)-COUNTIF(Vertices[Out-Degree],"&gt;="&amp;H10)</f>
        <v>0</v>
      </c>
      <c r="J9" s="41">
        <f t="shared" si="4"/>
        <v>0</v>
      </c>
      <c r="K9" s="42">
        <f>COUNTIF(Vertices[Betweenness Centrality],"&gt;= "&amp;J9)-COUNTIF(Vertices[Betweenness Centrality],"&gt;="&amp;J10)</f>
        <v>0</v>
      </c>
      <c r="L9" s="41">
        <f t="shared" si="5"/>
        <v>1</v>
      </c>
      <c r="M9" s="42">
        <f>COUNTIF(Vertices[Closeness Centrality],"&gt;= "&amp;L9)-COUNTIF(Vertices[Closeness Centrality],"&gt;="&amp;L10)</f>
        <v>0</v>
      </c>
      <c r="N9" s="41">
        <f t="shared" si="6"/>
        <v>0.166667</v>
      </c>
      <c r="O9" s="42">
        <f>COUNTIF(Vertices[Eigenvector Centrality],"&gt;= "&amp;N9)-COUNTIF(Vertices[Eigenvector Centrality],"&gt;="&amp;N10)</f>
        <v>0</v>
      </c>
      <c r="P9" s="41">
        <f t="shared" si="7"/>
        <v>0.999907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353</v>
      </c>
      <c r="B10" s="36">
        <v>2</v>
      </c>
      <c r="D10" s="34">
        <f t="shared" si="1"/>
        <v>0</v>
      </c>
      <c r="E10" s="3">
        <f>COUNTIF(Vertices[Degree],"&gt;= "&amp;D10)-COUNTIF(Vertices[Degree],"&gt;="&amp;D11)</f>
        <v>0</v>
      </c>
      <c r="F10" s="39">
        <f t="shared" si="2"/>
        <v>0.14545454545454548</v>
      </c>
      <c r="G10" s="40">
        <f>COUNTIF(Vertices[In-Degree],"&gt;= "&amp;F10)-COUNTIF(Vertices[In-Degree],"&gt;="&amp;F11)</f>
        <v>0</v>
      </c>
      <c r="H10" s="39">
        <f t="shared" si="3"/>
        <v>0.14545454545454548</v>
      </c>
      <c r="I10" s="40">
        <f>COUNTIF(Vertices[Out-Degree],"&gt;= "&amp;H10)-COUNTIF(Vertices[Out-Degree],"&gt;="&amp;H11)</f>
        <v>0</v>
      </c>
      <c r="J10" s="39">
        <f t="shared" si="4"/>
        <v>0</v>
      </c>
      <c r="K10" s="40">
        <f>COUNTIF(Vertices[Betweenness Centrality],"&gt;= "&amp;J10)-COUNTIF(Vertices[Betweenness Centrality],"&gt;="&amp;J11)</f>
        <v>0</v>
      </c>
      <c r="L10" s="39">
        <f t="shared" si="5"/>
        <v>1</v>
      </c>
      <c r="M10" s="40">
        <f>COUNTIF(Vertices[Closeness Centrality],"&gt;= "&amp;L10)-COUNTIF(Vertices[Closeness Centrality],"&gt;="&amp;L11)</f>
        <v>0</v>
      </c>
      <c r="N10" s="39">
        <f t="shared" si="6"/>
        <v>0.166667</v>
      </c>
      <c r="O10" s="40">
        <f>COUNTIF(Vertices[Eigenvector Centrality],"&gt;= "&amp;N10)-COUNTIF(Vertices[Eigenvector Centrality],"&gt;="&amp;N11)</f>
        <v>0</v>
      </c>
      <c r="P10" s="39">
        <f t="shared" si="7"/>
        <v>0.999907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0.16363636363636366</v>
      </c>
      <c r="G11" s="42">
        <f>COUNTIF(Vertices[In-Degree],"&gt;= "&amp;F11)-COUNTIF(Vertices[In-Degree],"&gt;="&amp;F12)</f>
        <v>0</v>
      </c>
      <c r="H11" s="41">
        <f t="shared" si="3"/>
        <v>0.16363636363636366</v>
      </c>
      <c r="I11" s="42">
        <f>COUNTIF(Vertices[Out-Degree],"&gt;= "&amp;H11)-COUNTIF(Vertices[Out-Degree],"&gt;="&amp;H12)</f>
        <v>0</v>
      </c>
      <c r="J11" s="41">
        <f t="shared" si="4"/>
        <v>0</v>
      </c>
      <c r="K11" s="42">
        <f>COUNTIF(Vertices[Betweenness Centrality],"&gt;= "&amp;J11)-COUNTIF(Vertices[Betweenness Centrality],"&gt;="&amp;J12)</f>
        <v>0</v>
      </c>
      <c r="L11" s="41">
        <f t="shared" si="5"/>
        <v>1</v>
      </c>
      <c r="M11" s="42">
        <f>COUNTIF(Vertices[Closeness Centrality],"&gt;= "&amp;L11)-COUNTIF(Vertices[Closeness Centrality],"&gt;="&amp;L12)</f>
        <v>0</v>
      </c>
      <c r="N11" s="41">
        <f t="shared" si="6"/>
        <v>0.166667</v>
      </c>
      <c r="O11" s="42">
        <f>COUNTIF(Vertices[Eigenvector Centrality],"&gt;= "&amp;N11)-COUNTIF(Vertices[Eigenvector Centrality],"&gt;="&amp;N12)</f>
        <v>0</v>
      </c>
      <c r="P11" s="41">
        <f t="shared" si="7"/>
        <v>0.999907</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219</v>
      </c>
      <c r="B12" s="36">
        <v>2</v>
      </c>
      <c r="D12" s="34">
        <f t="shared" si="1"/>
        <v>0</v>
      </c>
      <c r="E12" s="3">
        <f>COUNTIF(Vertices[Degree],"&gt;= "&amp;D12)-COUNTIF(Vertices[Degree],"&gt;="&amp;D13)</f>
        <v>0</v>
      </c>
      <c r="F12" s="39">
        <f t="shared" si="2"/>
        <v>0.18181818181818185</v>
      </c>
      <c r="G12" s="40">
        <f>COUNTIF(Vertices[In-Degree],"&gt;= "&amp;F12)-COUNTIF(Vertices[In-Degree],"&gt;="&amp;F13)</f>
        <v>0</v>
      </c>
      <c r="H12" s="39">
        <f t="shared" si="3"/>
        <v>0.18181818181818185</v>
      </c>
      <c r="I12" s="40">
        <f>COUNTIF(Vertices[Out-Degree],"&gt;= "&amp;H12)-COUNTIF(Vertices[Out-Degree],"&gt;="&amp;H13)</f>
        <v>0</v>
      </c>
      <c r="J12" s="39">
        <f t="shared" si="4"/>
        <v>0</v>
      </c>
      <c r="K12" s="40">
        <f>COUNTIF(Vertices[Betweenness Centrality],"&gt;= "&amp;J12)-COUNTIF(Vertices[Betweenness Centrality],"&gt;="&amp;J13)</f>
        <v>0</v>
      </c>
      <c r="L12" s="39">
        <f t="shared" si="5"/>
        <v>1</v>
      </c>
      <c r="M12" s="40">
        <f>COUNTIF(Vertices[Closeness Centrality],"&gt;= "&amp;L12)-COUNTIF(Vertices[Closeness Centrality],"&gt;="&amp;L13)</f>
        <v>0</v>
      </c>
      <c r="N12" s="39">
        <f t="shared" si="6"/>
        <v>0.166667</v>
      </c>
      <c r="O12" s="40">
        <f>COUNTIF(Vertices[Eigenvector Centrality],"&gt;= "&amp;N12)-COUNTIF(Vertices[Eigenvector Centrality],"&gt;="&amp;N13)</f>
        <v>0</v>
      </c>
      <c r="P12" s="39">
        <f t="shared" si="7"/>
        <v>0.999907</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218</v>
      </c>
      <c r="B13" s="36">
        <v>1</v>
      </c>
      <c r="D13" s="34">
        <f t="shared" si="1"/>
        <v>0</v>
      </c>
      <c r="E13" s="3">
        <f>COUNTIF(Vertices[Degree],"&gt;= "&amp;D13)-COUNTIF(Vertices[Degree],"&gt;="&amp;D14)</f>
        <v>0</v>
      </c>
      <c r="F13" s="41">
        <f t="shared" si="2"/>
        <v>0.20000000000000004</v>
      </c>
      <c r="G13" s="42">
        <f>COUNTIF(Vertices[In-Degree],"&gt;= "&amp;F13)-COUNTIF(Vertices[In-Degree],"&gt;="&amp;F14)</f>
        <v>0</v>
      </c>
      <c r="H13" s="41">
        <f t="shared" si="3"/>
        <v>0.20000000000000004</v>
      </c>
      <c r="I13" s="42">
        <f>COUNTIF(Vertices[Out-Degree],"&gt;= "&amp;H13)-COUNTIF(Vertices[Out-Degree],"&gt;="&amp;H14)</f>
        <v>0</v>
      </c>
      <c r="J13" s="41">
        <f t="shared" si="4"/>
        <v>0</v>
      </c>
      <c r="K13" s="42">
        <f>COUNTIF(Vertices[Betweenness Centrality],"&gt;= "&amp;J13)-COUNTIF(Vertices[Betweenness Centrality],"&gt;="&amp;J14)</f>
        <v>0</v>
      </c>
      <c r="L13" s="41">
        <f t="shared" si="5"/>
        <v>1</v>
      </c>
      <c r="M13" s="42">
        <f>COUNTIF(Vertices[Closeness Centrality],"&gt;= "&amp;L13)-COUNTIF(Vertices[Closeness Centrality],"&gt;="&amp;L14)</f>
        <v>0</v>
      </c>
      <c r="N13" s="41">
        <f t="shared" si="6"/>
        <v>0.166667</v>
      </c>
      <c r="O13" s="42">
        <f>COUNTIF(Vertices[Eigenvector Centrality],"&gt;= "&amp;N13)-COUNTIF(Vertices[Eigenvector Centrality],"&gt;="&amp;N14)</f>
        <v>0</v>
      </c>
      <c r="P13" s="41">
        <f t="shared" si="7"/>
        <v>0.999907</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9"/>
      <c r="B14" s="129"/>
      <c r="D14" s="34">
        <f t="shared" si="1"/>
        <v>0</v>
      </c>
      <c r="E14" s="3">
        <f>COUNTIF(Vertices[Degree],"&gt;= "&amp;D14)-COUNTIF(Vertices[Degree],"&gt;="&amp;D15)</f>
        <v>0</v>
      </c>
      <c r="F14" s="39">
        <f t="shared" si="2"/>
        <v>0.21818181818181823</v>
      </c>
      <c r="G14" s="40">
        <f>COUNTIF(Vertices[In-Degree],"&gt;= "&amp;F14)-COUNTIF(Vertices[In-Degree],"&gt;="&amp;F15)</f>
        <v>0</v>
      </c>
      <c r="H14" s="39">
        <f t="shared" si="3"/>
        <v>0.21818181818181823</v>
      </c>
      <c r="I14" s="40">
        <f>COUNTIF(Vertices[Out-Degree],"&gt;= "&amp;H14)-COUNTIF(Vertices[Out-Degree],"&gt;="&amp;H15)</f>
        <v>0</v>
      </c>
      <c r="J14" s="39">
        <f t="shared" si="4"/>
        <v>0</v>
      </c>
      <c r="K14" s="40">
        <f>COUNTIF(Vertices[Betweenness Centrality],"&gt;= "&amp;J14)-COUNTIF(Vertices[Betweenness Centrality],"&gt;="&amp;J15)</f>
        <v>0</v>
      </c>
      <c r="L14" s="39">
        <f t="shared" si="5"/>
        <v>1</v>
      </c>
      <c r="M14" s="40">
        <f>COUNTIF(Vertices[Closeness Centrality],"&gt;= "&amp;L14)-COUNTIF(Vertices[Closeness Centrality],"&gt;="&amp;L15)</f>
        <v>0</v>
      </c>
      <c r="N14" s="39">
        <f t="shared" si="6"/>
        <v>0.166667</v>
      </c>
      <c r="O14" s="40">
        <f>COUNTIF(Vertices[Eigenvector Centrality],"&gt;= "&amp;N14)-COUNTIF(Vertices[Eigenvector Centrality],"&gt;="&amp;N15)</f>
        <v>0</v>
      </c>
      <c r="P14" s="39">
        <f t="shared" si="7"/>
        <v>0.999907</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0</v>
      </c>
      <c r="D15" s="34">
        <f t="shared" si="1"/>
        <v>0</v>
      </c>
      <c r="E15" s="3">
        <f>COUNTIF(Vertices[Degree],"&gt;= "&amp;D15)-COUNTIF(Vertices[Degree],"&gt;="&amp;D16)</f>
        <v>0</v>
      </c>
      <c r="F15" s="41">
        <f t="shared" si="2"/>
        <v>0.23636363636363641</v>
      </c>
      <c r="G15" s="42">
        <f>COUNTIF(Vertices[In-Degree],"&gt;= "&amp;F15)-COUNTIF(Vertices[In-Degree],"&gt;="&amp;F16)</f>
        <v>0</v>
      </c>
      <c r="H15" s="41">
        <f t="shared" si="3"/>
        <v>0.23636363636363641</v>
      </c>
      <c r="I15" s="42">
        <f>COUNTIF(Vertices[Out-Degree],"&gt;= "&amp;H15)-COUNTIF(Vertices[Out-Degree],"&gt;="&amp;H16)</f>
        <v>0</v>
      </c>
      <c r="J15" s="41">
        <f t="shared" si="4"/>
        <v>0</v>
      </c>
      <c r="K15" s="42">
        <f>COUNTIF(Vertices[Betweenness Centrality],"&gt;= "&amp;J15)-COUNTIF(Vertices[Betweenness Centrality],"&gt;="&amp;J16)</f>
        <v>0</v>
      </c>
      <c r="L15" s="41">
        <f t="shared" si="5"/>
        <v>1</v>
      </c>
      <c r="M15" s="42">
        <f>COUNTIF(Vertices[Closeness Centrality],"&gt;= "&amp;L15)-COUNTIF(Vertices[Closeness Centrality],"&gt;="&amp;L16)</f>
        <v>0</v>
      </c>
      <c r="N15" s="41">
        <f t="shared" si="6"/>
        <v>0.166667</v>
      </c>
      <c r="O15" s="42">
        <f>COUNTIF(Vertices[Eigenvector Centrality],"&gt;= "&amp;N15)-COUNTIF(Vertices[Eigenvector Centrality],"&gt;="&amp;N16)</f>
        <v>0</v>
      </c>
      <c r="P15" s="41">
        <f t="shared" si="7"/>
        <v>0.999907</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9"/>
      <c r="B16" s="129"/>
      <c r="D16" s="34">
        <f t="shared" si="1"/>
        <v>0</v>
      </c>
      <c r="E16" s="3">
        <f>COUNTIF(Vertices[Degree],"&gt;= "&amp;D16)-COUNTIF(Vertices[Degree],"&gt;="&amp;D17)</f>
        <v>0</v>
      </c>
      <c r="F16" s="39">
        <f t="shared" si="2"/>
        <v>0.2545454545454546</v>
      </c>
      <c r="G16" s="40">
        <f>COUNTIF(Vertices[In-Degree],"&gt;= "&amp;F16)-COUNTIF(Vertices[In-Degree],"&gt;="&amp;F17)</f>
        <v>0</v>
      </c>
      <c r="H16" s="39">
        <f t="shared" si="3"/>
        <v>0.2545454545454546</v>
      </c>
      <c r="I16" s="40">
        <f>COUNTIF(Vertices[Out-Degree],"&gt;= "&amp;H16)-COUNTIF(Vertices[Out-Degree],"&gt;="&amp;H17)</f>
        <v>0</v>
      </c>
      <c r="J16" s="39">
        <f t="shared" si="4"/>
        <v>0</v>
      </c>
      <c r="K16" s="40">
        <f>COUNTIF(Vertices[Betweenness Centrality],"&gt;= "&amp;J16)-COUNTIF(Vertices[Betweenness Centrality],"&gt;="&amp;J17)</f>
        <v>0</v>
      </c>
      <c r="L16" s="39">
        <f t="shared" si="5"/>
        <v>1</v>
      </c>
      <c r="M16" s="40">
        <f>COUNTIF(Vertices[Closeness Centrality],"&gt;= "&amp;L16)-COUNTIF(Vertices[Closeness Centrality],"&gt;="&amp;L17)</f>
        <v>0</v>
      </c>
      <c r="N16" s="39">
        <f t="shared" si="6"/>
        <v>0.166667</v>
      </c>
      <c r="O16" s="40">
        <f>COUNTIF(Vertices[Eigenvector Centrality],"&gt;= "&amp;N16)-COUNTIF(Vertices[Eigenvector Centrality],"&gt;="&amp;N17)</f>
        <v>0</v>
      </c>
      <c r="P16" s="39">
        <f t="shared" si="7"/>
        <v>0.999907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0.27272727272727276</v>
      </c>
      <c r="G17" s="42">
        <f>COUNTIF(Vertices[In-Degree],"&gt;= "&amp;F17)-COUNTIF(Vertices[In-Degree],"&gt;="&amp;F18)</f>
        <v>0</v>
      </c>
      <c r="H17" s="41">
        <f t="shared" si="3"/>
        <v>0.27272727272727276</v>
      </c>
      <c r="I17" s="42">
        <f>COUNTIF(Vertices[Out-Degree],"&gt;= "&amp;H17)-COUNTIF(Vertices[Out-Degree],"&gt;="&amp;H18)</f>
        <v>0</v>
      </c>
      <c r="J17" s="41">
        <f t="shared" si="4"/>
        <v>0</v>
      </c>
      <c r="K17" s="42">
        <f>COUNTIF(Vertices[Betweenness Centrality],"&gt;= "&amp;J17)-COUNTIF(Vertices[Betweenness Centrality],"&gt;="&amp;J18)</f>
        <v>0</v>
      </c>
      <c r="L17" s="41">
        <f t="shared" si="5"/>
        <v>1</v>
      </c>
      <c r="M17" s="42">
        <f>COUNTIF(Vertices[Closeness Centrality],"&gt;= "&amp;L17)-COUNTIF(Vertices[Closeness Centrality],"&gt;="&amp;L18)</f>
        <v>0</v>
      </c>
      <c r="N17" s="41">
        <f t="shared" si="6"/>
        <v>0.166667</v>
      </c>
      <c r="O17" s="42">
        <f>COUNTIF(Vertices[Eigenvector Centrality],"&gt;= "&amp;N17)-COUNTIF(Vertices[Eigenvector Centrality],"&gt;="&amp;N18)</f>
        <v>0</v>
      </c>
      <c r="P17" s="41">
        <f t="shared" si="7"/>
        <v>0.999907</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0.29090909090909095</v>
      </c>
      <c r="G18" s="40">
        <f>COUNTIF(Vertices[In-Degree],"&gt;= "&amp;F18)-COUNTIF(Vertices[In-Degree],"&gt;="&amp;F19)</f>
        <v>0</v>
      </c>
      <c r="H18" s="39">
        <f t="shared" si="3"/>
        <v>0.29090909090909095</v>
      </c>
      <c r="I18" s="40">
        <f>COUNTIF(Vertices[Out-Degree],"&gt;= "&amp;H18)-COUNTIF(Vertices[Out-Degree],"&gt;="&amp;H19)</f>
        <v>0</v>
      </c>
      <c r="J18" s="39">
        <f t="shared" si="4"/>
        <v>0</v>
      </c>
      <c r="K18" s="40">
        <f>COUNTIF(Vertices[Betweenness Centrality],"&gt;= "&amp;J18)-COUNTIF(Vertices[Betweenness Centrality],"&gt;="&amp;J19)</f>
        <v>0</v>
      </c>
      <c r="L18" s="39">
        <f t="shared" si="5"/>
        <v>1</v>
      </c>
      <c r="M18" s="40">
        <f>COUNTIF(Vertices[Closeness Centrality],"&gt;= "&amp;L18)-COUNTIF(Vertices[Closeness Centrality],"&gt;="&amp;L19)</f>
        <v>0</v>
      </c>
      <c r="N18" s="39">
        <f t="shared" si="6"/>
        <v>0.166667</v>
      </c>
      <c r="O18" s="40">
        <f>COUNTIF(Vertices[Eigenvector Centrality],"&gt;= "&amp;N18)-COUNTIF(Vertices[Eigenvector Centrality],"&gt;="&amp;N19)</f>
        <v>0</v>
      </c>
      <c r="P18" s="39">
        <f t="shared" si="7"/>
        <v>0.999907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9"/>
      <c r="B19" s="129"/>
      <c r="D19" s="34">
        <f t="shared" si="1"/>
        <v>0</v>
      </c>
      <c r="E19" s="3">
        <f>COUNTIF(Vertices[Degree],"&gt;= "&amp;D19)-COUNTIF(Vertices[Degree],"&gt;="&amp;D20)</f>
        <v>0</v>
      </c>
      <c r="F19" s="41">
        <f t="shared" si="2"/>
        <v>0.30909090909090914</v>
      </c>
      <c r="G19" s="42">
        <f>COUNTIF(Vertices[In-Degree],"&gt;= "&amp;F19)-COUNTIF(Vertices[In-Degree],"&gt;="&amp;F20)</f>
        <v>0</v>
      </c>
      <c r="H19" s="41">
        <f t="shared" si="3"/>
        <v>0.30909090909090914</v>
      </c>
      <c r="I19" s="42">
        <f>COUNTIF(Vertices[Out-Degree],"&gt;= "&amp;H19)-COUNTIF(Vertices[Out-Degree],"&gt;="&amp;H20)</f>
        <v>0</v>
      </c>
      <c r="J19" s="41">
        <f t="shared" si="4"/>
        <v>0</v>
      </c>
      <c r="K19" s="42">
        <f>COUNTIF(Vertices[Betweenness Centrality],"&gt;= "&amp;J19)-COUNTIF(Vertices[Betweenness Centrality],"&gt;="&amp;J20)</f>
        <v>0</v>
      </c>
      <c r="L19" s="41">
        <f t="shared" si="5"/>
        <v>1</v>
      </c>
      <c r="M19" s="42">
        <f>COUNTIF(Vertices[Closeness Centrality],"&gt;= "&amp;L19)-COUNTIF(Vertices[Closeness Centrality],"&gt;="&amp;L20)</f>
        <v>0</v>
      </c>
      <c r="N19" s="41">
        <f t="shared" si="6"/>
        <v>0.166667</v>
      </c>
      <c r="O19" s="42">
        <f>COUNTIF(Vertices[Eigenvector Centrality],"&gt;= "&amp;N19)-COUNTIF(Vertices[Eigenvector Centrality],"&gt;="&amp;N20)</f>
        <v>0</v>
      </c>
      <c r="P19" s="41">
        <f t="shared" si="7"/>
        <v>0.999907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3</v>
      </c>
      <c r="D20" s="34">
        <f t="shared" si="1"/>
        <v>0</v>
      </c>
      <c r="E20" s="3">
        <f>COUNTIF(Vertices[Degree],"&gt;= "&amp;D20)-COUNTIF(Vertices[Degree],"&gt;="&amp;D21)</f>
        <v>0</v>
      </c>
      <c r="F20" s="39">
        <f t="shared" si="2"/>
        <v>0.3272727272727273</v>
      </c>
      <c r="G20" s="40">
        <f>COUNTIF(Vertices[In-Degree],"&gt;= "&amp;F20)-COUNTIF(Vertices[In-Degree],"&gt;="&amp;F21)</f>
        <v>0</v>
      </c>
      <c r="H20" s="39">
        <f t="shared" si="3"/>
        <v>0.3272727272727273</v>
      </c>
      <c r="I20" s="40">
        <f>COUNTIF(Vertices[Out-Degree],"&gt;= "&amp;H20)-COUNTIF(Vertices[Out-Degree],"&gt;="&amp;H21)</f>
        <v>0</v>
      </c>
      <c r="J20" s="39">
        <f t="shared" si="4"/>
        <v>0</v>
      </c>
      <c r="K20" s="40">
        <f>COUNTIF(Vertices[Betweenness Centrality],"&gt;= "&amp;J20)-COUNTIF(Vertices[Betweenness Centrality],"&gt;="&amp;J21)</f>
        <v>0</v>
      </c>
      <c r="L20" s="39">
        <f t="shared" si="5"/>
        <v>1</v>
      </c>
      <c r="M20" s="40">
        <f>COUNTIF(Vertices[Closeness Centrality],"&gt;= "&amp;L20)-COUNTIF(Vertices[Closeness Centrality],"&gt;="&amp;L21)</f>
        <v>0</v>
      </c>
      <c r="N20" s="39">
        <f t="shared" si="6"/>
        <v>0.166667</v>
      </c>
      <c r="O20" s="40">
        <f>COUNTIF(Vertices[Eigenvector Centrality],"&gt;= "&amp;N20)-COUNTIF(Vertices[Eigenvector Centrality],"&gt;="&amp;N21)</f>
        <v>0</v>
      </c>
      <c r="P20" s="39">
        <f t="shared" si="7"/>
        <v>0.999907</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0.3454545454545455</v>
      </c>
      <c r="G21" s="42">
        <f>COUNTIF(Vertices[In-Degree],"&gt;= "&amp;F21)-COUNTIF(Vertices[In-Degree],"&gt;="&amp;F22)</f>
        <v>0</v>
      </c>
      <c r="H21" s="41">
        <f t="shared" si="3"/>
        <v>0.3454545454545455</v>
      </c>
      <c r="I21" s="42">
        <f>COUNTIF(Vertices[Out-Degree],"&gt;= "&amp;H21)-COUNTIF(Vertices[Out-Degree],"&gt;="&amp;H22)</f>
        <v>0</v>
      </c>
      <c r="J21" s="41">
        <f t="shared" si="4"/>
        <v>0</v>
      </c>
      <c r="K21" s="42">
        <f>COUNTIF(Vertices[Betweenness Centrality],"&gt;= "&amp;J21)-COUNTIF(Vertices[Betweenness Centrality],"&gt;="&amp;J22)</f>
        <v>0</v>
      </c>
      <c r="L21" s="41">
        <f t="shared" si="5"/>
        <v>1</v>
      </c>
      <c r="M21" s="42">
        <f>COUNTIF(Vertices[Closeness Centrality],"&gt;= "&amp;L21)-COUNTIF(Vertices[Closeness Centrality],"&gt;="&amp;L22)</f>
        <v>0</v>
      </c>
      <c r="N21" s="41">
        <f t="shared" si="6"/>
        <v>0.166667</v>
      </c>
      <c r="O21" s="42">
        <f>COUNTIF(Vertices[Eigenvector Centrality],"&gt;= "&amp;N21)-COUNTIF(Vertices[Eigenvector Centrality],"&gt;="&amp;N22)</f>
        <v>0</v>
      </c>
      <c r="P21" s="41">
        <f t="shared" si="7"/>
        <v>0.999907</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2</v>
      </c>
      <c r="D22" s="34">
        <f t="shared" si="1"/>
        <v>0</v>
      </c>
      <c r="E22" s="3">
        <f>COUNTIF(Vertices[Degree],"&gt;= "&amp;D22)-COUNTIF(Vertices[Degree],"&gt;="&amp;D23)</f>
        <v>0</v>
      </c>
      <c r="F22" s="39">
        <f t="shared" si="2"/>
        <v>0.3636363636363637</v>
      </c>
      <c r="G22" s="40">
        <f>COUNTIF(Vertices[In-Degree],"&gt;= "&amp;F22)-COUNTIF(Vertices[In-Degree],"&gt;="&amp;F23)</f>
        <v>0</v>
      </c>
      <c r="H22" s="39">
        <f t="shared" si="3"/>
        <v>0.3636363636363637</v>
      </c>
      <c r="I22" s="40">
        <f>COUNTIF(Vertices[Out-Degree],"&gt;= "&amp;H22)-COUNTIF(Vertices[Out-Degree],"&gt;="&amp;H23)</f>
        <v>0</v>
      </c>
      <c r="J22" s="39">
        <f t="shared" si="4"/>
        <v>0</v>
      </c>
      <c r="K22" s="40">
        <f>COUNTIF(Vertices[Betweenness Centrality],"&gt;= "&amp;J22)-COUNTIF(Vertices[Betweenness Centrality],"&gt;="&amp;J23)</f>
        <v>0</v>
      </c>
      <c r="L22" s="39">
        <f t="shared" si="5"/>
        <v>1</v>
      </c>
      <c r="M22" s="40">
        <f>COUNTIF(Vertices[Closeness Centrality],"&gt;= "&amp;L22)-COUNTIF(Vertices[Closeness Centrality],"&gt;="&amp;L23)</f>
        <v>0</v>
      </c>
      <c r="N22" s="39">
        <f t="shared" si="6"/>
        <v>0.166667</v>
      </c>
      <c r="O22" s="40">
        <f>COUNTIF(Vertices[Eigenvector Centrality],"&gt;= "&amp;N22)-COUNTIF(Vertices[Eigenvector Centrality],"&gt;="&amp;N23)</f>
        <v>0</v>
      </c>
      <c r="P22" s="39">
        <f t="shared" si="7"/>
        <v>0.999907</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1</v>
      </c>
      <c r="D23" s="34">
        <f t="shared" si="1"/>
        <v>0</v>
      </c>
      <c r="E23" s="3">
        <f>COUNTIF(Vertices[Degree],"&gt;= "&amp;D23)-COUNTIF(Vertices[Degree],"&gt;="&amp;D24)</f>
        <v>0</v>
      </c>
      <c r="F23" s="41">
        <f t="shared" si="2"/>
        <v>0.3818181818181819</v>
      </c>
      <c r="G23" s="42">
        <f>COUNTIF(Vertices[In-Degree],"&gt;= "&amp;F23)-COUNTIF(Vertices[In-Degree],"&gt;="&amp;F24)</f>
        <v>0</v>
      </c>
      <c r="H23" s="41">
        <f t="shared" si="3"/>
        <v>0.3818181818181819</v>
      </c>
      <c r="I23" s="42">
        <f>COUNTIF(Vertices[Out-Degree],"&gt;= "&amp;H23)-COUNTIF(Vertices[Out-Degree],"&gt;="&amp;H24)</f>
        <v>0</v>
      </c>
      <c r="J23" s="41">
        <f t="shared" si="4"/>
        <v>0</v>
      </c>
      <c r="K23" s="42">
        <f>COUNTIF(Vertices[Betweenness Centrality],"&gt;= "&amp;J23)-COUNTIF(Vertices[Betweenness Centrality],"&gt;="&amp;J24)</f>
        <v>0</v>
      </c>
      <c r="L23" s="41">
        <f t="shared" si="5"/>
        <v>1</v>
      </c>
      <c r="M23" s="42">
        <f>COUNTIF(Vertices[Closeness Centrality],"&gt;= "&amp;L23)-COUNTIF(Vertices[Closeness Centrality],"&gt;="&amp;L24)</f>
        <v>0</v>
      </c>
      <c r="N23" s="41">
        <f t="shared" si="6"/>
        <v>0.166667</v>
      </c>
      <c r="O23" s="42">
        <f>COUNTIF(Vertices[Eigenvector Centrality],"&gt;= "&amp;N23)-COUNTIF(Vertices[Eigenvector Centrality],"&gt;="&amp;N24)</f>
        <v>0</v>
      </c>
      <c r="P23" s="41">
        <f t="shared" si="7"/>
        <v>0.999907</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29"/>
      <c r="B24" s="129"/>
      <c r="D24" s="34">
        <f t="shared" si="1"/>
        <v>0</v>
      </c>
      <c r="E24" s="3">
        <f>COUNTIF(Vertices[Degree],"&gt;= "&amp;D24)-COUNTIF(Vertices[Degree],"&gt;="&amp;D25)</f>
        <v>0</v>
      </c>
      <c r="F24" s="39">
        <f t="shared" si="2"/>
        <v>0.4000000000000001</v>
      </c>
      <c r="G24" s="40">
        <f>COUNTIF(Vertices[In-Degree],"&gt;= "&amp;F24)-COUNTIF(Vertices[In-Degree],"&gt;="&amp;F25)</f>
        <v>0</v>
      </c>
      <c r="H24" s="39">
        <f t="shared" si="3"/>
        <v>0.4000000000000001</v>
      </c>
      <c r="I24" s="40">
        <f>COUNTIF(Vertices[Out-Degree],"&gt;= "&amp;H24)-COUNTIF(Vertices[Out-Degree],"&gt;="&amp;H25)</f>
        <v>0</v>
      </c>
      <c r="J24" s="39">
        <f t="shared" si="4"/>
        <v>0</v>
      </c>
      <c r="K24" s="40">
        <f>COUNTIF(Vertices[Betweenness Centrality],"&gt;= "&amp;J24)-COUNTIF(Vertices[Betweenness Centrality],"&gt;="&amp;J25)</f>
        <v>0</v>
      </c>
      <c r="L24" s="39">
        <f t="shared" si="5"/>
        <v>1</v>
      </c>
      <c r="M24" s="40">
        <f>COUNTIF(Vertices[Closeness Centrality],"&gt;= "&amp;L24)-COUNTIF(Vertices[Closeness Centrality],"&gt;="&amp;L25)</f>
        <v>0</v>
      </c>
      <c r="N24" s="39">
        <f t="shared" si="6"/>
        <v>0.166667</v>
      </c>
      <c r="O24" s="40">
        <f>COUNTIF(Vertices[Eigenvector Centrality],"&gt;= "&amp;N24)-COUNTIF(Vertices[Eigenvector Centrality],"&gt;="&amp;N25)</f>
        <v>0</v>
      </c>
      <c r="P24" s="39">
        <f t="shared" si="7"/>
        <v>0.999907</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1</v>
      </c>
      <c r="D25" s="34">
        <f t="shared" si="1"/>
        <v>0</v>
      </c>
      <c r="E25" s="3">
        <f>COUNTIF(Vertices[Degree],"&gt;= "&amp;D25)-COUNTIF(Vertices[Degree],"&gt;="&amp;D26)</f>
        <v>0</v>
      </c>
      <c r="F25" s="41">
        <f t="shared" si="2"/>
        <v>0.41818181818181827</v>
      </c>
      <c r="G25" s="42">
        <f>COUNTIF(Vertices[In-Degree],"&gt;= "&amp;F25)-COUNTIF(Vertices[In-Degree],"&gt;="&amp;F26)</f>
        <v>0</v>
      </c>
      <c r="H25" s="41">
        <f t="shared" si="3"/>
        <v>0.41818181818181827</v>
      </c>
      <c r="I25" s="42">
        <f>COUNTIF(Vertices[Out-Degree],"&gt;= "&amp;H25)-COUNTIF(Vertices[Out-Degree],"&gt;="&amp;H26)</f>
        <v>0</v>
      </c>
      <c r="J25" s="41">
        <f t="shared" si="4"/>
        <v>0</v>
      </c>
      <c r="K25" s="42">
        <f>COUNTIF(Vertices[Betweenness Centrality],"&gt;= "&amp;J25)-COUNTIF(Vertices[Betweenness Centrality],"&gt;="&amp;J26)</f>
        <v>0</v>
      </c>
      <c r="L25" s="41">
        <f t="shared" si="5"/>
        <v>1</v>
      </c>
      <c r="M25" s="42">
        <f>COUNTIF(Vertices[Closeness Centrality],"&gt;= "&amp;L25)-COUNTIF(Vertices[Closeness Centrality],"&gt;="&amp;L26)</f>
        <v>0</v>
      </c>
      <c r="N25" s="41">
        <f t="shared" si="6"/>
        <v>0.166667</v>
      </c>
      <c r="O25" s="42">
        <f>COUNTIF(Vertices[Eigenvector Centrality],"&gt;= "&amp;N25)-COUNTIF(Vertices[Eigenvector Centrality],"&gt;="&amp;N26)</f>
        <v>0</v>
      </c>
      <c r="P25" s="41">
        <f t="shared" si="7"/>
        <v>0.999907</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0.5</v>
      </c>
      <c r="D26" s="34">
        <f t="shared" si="1"/>
        <v>0</v>
      </c>
      <c r="E26" s="3">
        <f>COUNTIF(Vertices[Degree],"&gt;= "&amp;D26)-COUNTIF(Vertices[Degree],"&gt;="&amp;D28)</f>
        <v>0</v>
      </c>
      <c r="F26" s="39">
        <f t="shared" si="2"/>
        <v>0.43636363636363645</v>
      </c>
      <c r="G26" s="40">
        <f>COUNTIF(Vertices[In-Degree],"&gt;= "&amp;F26)-COUNTIF(Vertices[In-Degree],"&gt;="&amp;F28)</f>
        <v>0</v>
      </c>
      <c r="H26" s="39">
        <f t="shared" si="3"/>
        <v>0.43636363636363645</v>
      </c>
      <c r="I26" s="40">
        <f>COUNTIF(Vertices[Out-Degree],"&gt;= "&amp;H26)-COUNTIF(Vertices[Out-Degree],"&gt;="&amp;H28)</f>
        <v>0</v>
      </c>
      <c r="J26" s="39">
        <f t="shared" si="4"/>
        <v>0</v>
      </c>
      <c r="K26" s="40">
        <f>COUNTIF(Vertices[Betweenness Centrality],"&gt;= "&amp;J26)-COUNTIF(Vertices[Betweenness Centrality],"&gt;="&amp;J28)</f>
        <v>0</v>
      </c>
      <c r="L26" s="39">
        <f t="shared" si="5"/>
        <v>1</v>
      </c>
      <c r="M26" s="40">
        <f>COUNTIF(Vertices[Closeness Centrality],"&gt;= "&amp;L26)-COUNTIF(Vertices[Closeness Centrality],"&gt;="&amp;L28)</f>
        <v>0</v>
      </c>
      <c r="N26" s="39">
        <f t="shared" si="6"/>
        <v>0.166667</v>
      </c>
      <c r="O26" s="40">
        <f>COUNTIF(Vertices[Eigenvector Centrality],"&gt;= "&amp;N26)-COUNTIF(Vertices[Eigenvector Centrality],"&gt;="&amp;N28)</f>
        <v>0</v>
      </c>
      <c r="P26" s="39">
        <f t="shared" si="7"/>
        <v>0.999907</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29"/>
      <c r="B27" s="129"/>
      <c r="D27" s="34"/>
      <c r="E27" s="3">
        <f>COUNTIF(Vertices[Degree],"&gt;= "&amp;D27)-COUNTIF(Vertices[Degree],"&gt;="&amp;D28)</f>
        <v>0</v>
      </c>
      <c r="F27" s="78"/>
      <c r="G27" s="79">
        <f>COUNTIF(Vertices[In-Degree],"&gt;= "&amp;F27)-COUNTIF(Vertices[In-Degree],"&gt;="&amp;F28)</f>
        <v>-3</v>
      </c>
      <c r="H27" s="78"/>
      <c r="I27" s="79">
        <f>COUNTIF(Vertices[Out-Degree],"&gt;= "&amp;H27)-COUNTIF(Vertices[Out-Degree],"&gt;="&amp;H28)</f>
        <v>-3</v>
      </c>
      <c r="J27" s="78"/>
      <c r="K27" s="79">
        <f>COUNTIF(Vertices[Betweenness Centrality],"&gt;= "&amp;J27)-COUNTIF(Vertices[Betweenness Centrality],"&gt;="&amp;J28)</f>
        <v>-6</v>
      </c>
      <c r="L27" s="78"/>
      <c r="M27" s="79">
        <f>COUNTIF(Vertices[Closeness Centrality],"&gt;= "&amp;L27)-COUNTIF(Vertices[Closeness Centrality],"&gt;="&amp;L28)</f>
        <v>-6</v>
      </c>
      <c r="N27" s="78"/>
      <c r="O27" s="79">
        <f>COUNTIF(Vertices[Eigenvector Centrality],"&gt;= "&amp;N27)-COUNTIF(Vertices[Eigenvector Centrality],"&gt;="&amp;N28)</f>
        <v>-6</v>
      </c>
      <c r="P27" s="78"/>
      <c r="Q27" s="79">
        <f>COUNTIF(Vertices[Eigenvector Centrality],"&gt;= "&amp;P27)-COUNTIF(Vertices[Eigenvector Centrality],"&gt;="&amp;P28)</f>
        <v>0</v>
      </c>
      <c r="R27" s="78"/>
      <c r="S27" s="80">
        <f>COUNTIF(Vertices[Clustering Coefficient],"&gt;= "&amp;R27)-COUNTIF(Vertices[Clustering Coefficient],"&gt;="&amp;R28)</f>
        <v>-6</v>
      </c>
      <c r="T27" s="78"/>
      <c r="U27" s="79">
        <f ca="1">COUNTIF(Vertices[Clustering Coefficient],"&gt;= "&amp;T27)-COUNTIF(Vertices[Clustering Coefficient],"&gt;="&amp;T28)</f>
        <v>0</v>
      </c>
    </row>
    <row r="28" spans="1:21" ht="15">
      <c r="A28" s="36" t="s">
        <v>158</v>
      </c>
      <c r="B28" s="36">
        <v>0.1</v>
      </c>
      <c r="D28" s="34">
        <f>D26+($D$57-$D$2)/BinDivisor</f>
        <v>0</v>
      </c>
      <c r="E28" s="3">
        <f>COUNTIF(Vertices[Degree],"&gt;= "&amp;D28)-COUNTIF(Vertices[Degree],"&gt;="&amp;D40)</f>
        <v>0</v>
      </c>
      <c r="F28" s="41">
        <f>F26+($F$57-$F$2)/BinDivisor</f>
        <v>0.45454545454545464</v>
      </c>
      <c r="G28" s="42">
        <f>COUNTIF(Vertices[In-Degree],"&gt;= "&amp;F28)-COUNTIF(Vertices[In-Degree],"&gt;="&amp;F40)</f>
        <v>0</v>
      </c>
      <c r="H28" s="41">
        <f>H26+($H$57-$H$2)/BinDivisor</f>
        <v>0.45454545454545464</v>
      </c>
      <c r="I28" s="42">
        <f>COUNTIF(Vertices[Out-Degree],"&gt;= "&amp;H28)-COUNTIF(Vertices[Out-Degree],"&gt;="&amp;H40)</f>
        <v>0</v>
      </c>
      <c r="J28" s="41">
        <f>J26+($J$57-$J$2)/BinDivisor</f>
        <v>0</v>
      </c>
      <c r="K28" s="42">
        <f>COUNTIF(Vertices[Betweenness Centrality],"&gt;= "&amp;J28)-COUNTIF(Vertices[Betweenness Centrality],"&gt;="&amp;J40)</f>
        <v>0</v>
      </c>
      <c r="L28" s="41">
        <f>L26+($L$57-$L$2)/BinDivisor</f>
        <v>1</v>
      </c>
      <c r="M28" s="42">
        <f>COUNTIF(Vertices[Closeness Centrality],"&gt;= "&amp;L28)-COUNTIF(Vertices[Closeness Centrality],"&gt;="&amp;L40)</f>
        <v>0</v>
      </c>
      <c r="N28" s="41">
        <f>N26+($N$57-$N$2)/BinDivisor</f>
        <v>0.166667</v>
      </c>
      <c r="O28" s="42">
        <f>COUNTIF(Vertices[Eigenvector Centrality],"&gt;= "&amp;N28)-COUNTIF(Vertices[Eigenvector Centrality],"&gt;="&amp;N40)</f>
        <v>0</v>
      </c>
      <c r="P28" s="41">
        <f>P26+($P$57-$P$2)/BinDivisor</f>
        <v>0.999907</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354</v>
      </c>
      <c r="B29" s="36">
        <v>0.666667</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29"/>
      <c r="B30" s="129"/>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355</v>
      </c>
      <c r="B31" s="36" t="s">
        <v>356</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-3</v>
      </c>
      <c r="H38" s="78"/>
      <c r="I38" s="79">
        <f>COUNTIF(Vertices[Out-Degree],"&gt;= "&amp;H38)-COUNTIF(Vertices[Out-Degree],"&gt;="&amp;H40)</f>
        <v>-3</v>
      </c>
      <c r="J38" s="78"/>
      <c r="K38" s="79">
        <f>COUNTIF(Vertices[Betweenness Centrality],"&gt;= "&amp;J38)-COUNTIF(Vertices[Betweenness Centrality],"&gt;="&amp;J40)</f>
        <v>-6</v>
      </c>
      <c r="L38" s="78"/>
      <c r="M38" s="79">
        <f>COUNTIF(Vertices[Closeness Centrality],"&gt;= "&amp;L38)-COUNTIF(Vertices[Closeness Centrality],"&gt;="&amp;L40)</f>
        <v>-6</v>
      </c>
      <c r="N38" s="78"/>
      <c r="O38" s="79">
        <f>COUNTIF(Vertices[Eigenvector Centrality],"&gt;= "&amp;N38)-COUNTIF(Vertices[Eigenvector Centrality],"&gt;="&amp;N40)</f>
        <v>-6</v>
      </c>
      <c r="P38" s="78"/>
      <c r="Q38" s="79">
        <f>COUNTIF(Vertices[Eigenvector Centrality],"&gt;= "&amp;P38)-COUNTIF(Vertices[Eigenvector Centrality],"&gt;="&amp;P40)</f>
        <v>0</v>
      </c>
      <c r="R38" s="78"/>
      <c r="S38" s="80">
        <f>COUNTIF(Vertices[Clustering Coefficient],"&gt;= "&amp;R38)-COUNTIF(Vertices[Clustering Coefficient],"&gt;="&amp;R40)</f>
        <v>-6</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-3</v>
      </c>
      <c r="H39" s="78"/>
      <c r="I39" s="79">
        <f>COUNTIF(Vertices[Out-Degree],"&gt;= "&amp;H39)-COUNTIF(Vertices[Out-Degree],"&gt;="&amp;H40)</f>
        <v>-3</v>
      </c>
      <c r="J39" s="78"/>
      <c r="K39" s="79">
        <f>COUNTIF(Vertices[Betweenness Centrality],"&gt;= "&amp;J39)-COUNTIF(Vertices[Betweenness Centrality],"&gt;="&amp;J40)</f>
        <v>-6</v>
      </c>
      <c r="L39" s="78"/>
      <c r="M39" s="79">
        <f>COUNTIF(Vertices[Closeness Centrality],"&gt;= "&amp;L39)-COUNTIF(Vertices[Closeness Centrality],"&gt;="&amp;L40)</f>
        <v>-6</v>
      </c>
      <c r="N39" s="78"/>
      <c r="O39" s="79">
        <f>COUNTIF(Vertices[Eigenvector Centrality],"&gt;= "&amp;N39)-COUNTIF(Vertices[Eigenvector Centrality],"&gt;="&amp;N40)</f>
        <v>-6</v>
      </c>
      <c r="P39" s="78"/>
      <c r="Q39" s="79">
        <f>COUNTIF(Vertices[Eigenvector Centrality],"&gt;= "&amp;P39)-COUNTIF(Vertices[Eigenvector Centrality],"&gt;="&amp;P40)</f>
        <v>0</v>
      </c>
      <c r="R39" s="78"/>
      <c r="S39" s="80">
        <f>COUNTIF(Vertices[Clustering Coefficient],"&gt;= "&amp;R39)-COUNTIF(Vertices[Clustering Coefficient],"&gt;="&amp;R40)</f>
        <v>-6</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0.47272727272727283</v>
      </c>
      <c r="G40" s="40">
        <f>COUNTIF(Vertices[In-Degree],"&gt;= "&amp;F40)-COUNTIF(Vertices[In-Degree],"&gt;="&amp;F41)</f>
        <v>0</v>
      </c>
      <c r="H40" s="39">
        <f>H28+($H$57-$H$2)/BinDivisor</f>
        <v>0.47272727272727283</v>
      </c>
      <c r="I40" s="40">
        <f>COUNTIF(Vertices[Out-Degree],"&gt;= "&amp;H40)-COUNTIF(Vertices[Out-Degree],"&gt;="&amp;H41)</f>
        <v>0</v>
      </c>
      <c r="J40" s="39">
        <f>J28+($J$57-$J$2)/BinDivisor</f>
        <v>0</v>
      </c>
      <c r="K40" s="40">
        <f>COUNTIF(Vertices[Betweenness Centrality],"&gt;= "&amp;J40)-COUNTIF(Vertices[Betweenness Centrality],"&gt;="&amp;J41)</f>
        <v>0</v>
      </c>
      <c r="L40" s="39">
        <f>L28+($L$57-$L$2)/BinDivisor</f>
        <v>1</v>
      </c>
      <c r="M40" s="40">
        <f>COUNTIF(Vertices[Closeness Centrality],"&gt;= "&amp;L40)-COUNTIF(Vertices[Closeness Centrality],"&gt;="&amp;L41)</f>
        <v>0</v>
      </c>
      <c r="N40" s="39">
        <f>N28+($N$57-$N$2)/BinDivisor</f>
        <v>0.166667</v>
      </c>
      <c r="O40" s="40">
        <f>COUNTIF(Vertices[Eigenvector Centrality],"&gt;= "&amp;N40)-COUNTIF(Vertices[Eigenvector Centrality],"&gt;="&amp;N41)</f>
        <v>0</v>
      </c>
      <c r="P40" s="39">
        <f>P28+($P$57-$P$2)/BinDivisor</f>
        <v>0.999907</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0.490909090909091</v>
      </c>
      <c r="G41" s="42">
        <f>COUNTIF(Vertices[In-Degree],"&gt;= "&amp;F41)-COUNTIF(Vertices[In-Degree],"&gt;="&amp;F42)</f>
        <v>0</v>
      </c>
      <c r="H41" s="41">
        <f aca="true" t="shared" si="12" ref="H41:H56">H40+($H$57-$H$2)/BinDivisor</f>
        <v>0.490909090909091</v>
      </c>
      <c r="I41" s="42">
        <f>COUNTIF(Vertices[Out-Degree],"&gt;= "&amp;H41)-COUNTIF(Vertices[Out-Degree],"&gt;="&amp;H42)</f>
        <v>0</v>
      </c>
      <c r="J41" s="41">
        <f aca="true" t="shared" si="13" ref="J41:J56">J40+($J$57-$J$2)/BinDivisor</f>
        <v>0</v>
      </c>
      <c r="K41" s="42">
        <f>COUNTIF(Vertices[Betweenness Centrality],"&gt;= "&amp;J41)-COUNTIF(Vertices[Betweenness Centrality],"&gt;="&amp;J42)</f>
        <v>0</v>
      </c>
      <c r="L41" s="41">
        <f aca="true" t="shared" si="14" ref="L41:L56">L40+($L$57-$L$2)/BinDivisor</f>
        <v>1</v>
      </c>
      <c r="M41" s="42">
        <f>COUNTIF(Vertices[Closeness Centrality],"&gt;= "&amp;L41)-COUNTIF(Vertices[Closeness Centrality],"&gt;="&amp;L42)</f>
        <v>0</v>
      </c>
      <c r="N41" s="41">
        <f aca="true" t="shared" si="15" ref="N41:N56">N40+($N$57-$N$2)/BinDivisor</f>
        <v>0.166667</v>
      </c>
      <c r="O41" s="42">
        <f>COUNTIF(Vertices[Eigenvector Centrality],"&gt;= "&amp;N41)-COUNTIF(Vertices[Eigenvector Centrality],"&gt;="&amp;N42)</f>
        <v>0</v>
      </c>
      <c r="P41" s="41">
        <f aca="true" t="shared" si="16" ref="P41:P56">P40+($P$57-$P$2)/BinDivisor</f>
        <v>0.999907</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0.5090909090909091</v>
      </c>
      <c r="G42" s="40">
        <f>COUNTIF(Vertices[In-Degree],"&gt;= "&amp;F42)-COUNTIF(Vertices[In-Degree],"&gt;="&amp;F43)</f>
        <v>0</v>
      </c>
      <c r="H42" s="39">
        <f t="shared" si="12"/>
        <v>0.5090909090909091</v>
      </c>
      <c r="I42" s="40">
        <f>COUNTIF(Vertices[Out-Degree],"&gt;= "&amp;H42)-COUNTIF(Vertices[Out-Degree],"&gt;="&amp;H43)</f>
        <v>0</v>
      </c>
      <c r="J42" s="39">
        <f t="shared" si="13"/>
        <v>0</v>
      </c>
      <c r="K42" s="40">
        <f>COUNTIF(Vertices[Betweenness Centrality],"&gt;= "&amp;J42)-COUNTIF(Vertices[Betweenness Centrality],"&gt;="&amp;J43)</f>
        <v>0</v>
      </c>
      <c r="L42" s="39">
        <f t="shared" si="14"/>
        <v>1</v>
      </c>
      <c r="M42" s="40">
        <f>COUNTIF(Vertices[Closeness Centrality],"&gt;= "&amp;L42)-COUNTIF(Vertices[Closeness Centrality],"&gt;="&amp;L43)</f>
        <v>0</v>
      </c>
      <c r="N42" s="39">
        <f t="shared" si="15"/>
        <v>0.166667</v>
      </c>
      <c r="O42" s="40">
        <f>COUNTIF(Vertices[Eigenvector Centrality],"&gt;= "&amp;N42)-COUNTIF(Vertices[Eigenvector Centrality],"&gt;="&amp;N43)</f>
        <v>0</v>
      </c>
      <c r="P42" s="39">
        <f t="shared" si="16"/>
        <v>0.999907</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0.5272727272727273</v>
      </c>
      <c r="G43" s="42">
        <f>COUNTIF(Vertices[In-Degree],"&gt;= "&amp;F43)-COUNTIF(Vertices[In-Degree],"&gt;="&amp;F44)</f>
        <v>0</v>
      </c>
      <c r="H43" s="41">
        <f t="shared" si="12"/>
        <v>0.5272727272727273</v>
      </c>
      <c r="I43" s="42">
        <f>COUNTIF(Vertices[Out-Degree],"&gt;= "&amp;H43)-COUNTIF(Vertices[Out-Degree],"&gt;="&amp;H44)</f>
        <v>0</v>
      </c>
      <c r="J43" s="41">
        <f t="shared" si="13"/>
        <v>0</v>
      </c>
      <c r="K43" s="42">
        <f>COUNTIF(Vertices[Betweenness Centrality],"&gt;= "&amp;J43)-COUNTIF(Vertices[Betweenness Centrality],"&gt;="&amp;J44)</f>
        <v>0</v>
      </c>
      <c r="L43" s="41">
        <f t="shared" si="14"/>
        <v>1</v>
      </c>
      <c r="M43" s="42">
        <f>COUNTIF(Vertices[Closeness Centrality],"&gt;= "&amp;L43)-COUNTIF(Vertices[Closeness Centrality],"&gt;="&amp;L44)</f>
        <v>0</v>
      </c>
      <c r="N43" s="41">
        <f t="shared" si="15"/>
        <v>0.166667</v>
      </c>
      <c r="O43" s="42">
        <f>COUNTIF(Vertices[Eigenvector Centrality],"&gt;= "&amp;N43)-COUNTIF(Vertices[Eigenvector Centrality],"&gt;="&amp;N44)</f>
        <v>0</v>
      </c>
      <c r="P43" s="41">
        <f t="shared" si="16"/>
        <v>0.999907</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0.5454545454545455</v>
      </c>
      <c r="G44" s="40">
        <f>COUNTIF(Vertices[In-Degree],"&gt;= "&amp;F44)-COUNTIF(Vertices[In-Degree],"&gt;="&amp;F45)</f>
        <v>0</v>
      </c>
      <c r="H44" s="39">
        <f t="shared" si="12"/>
        <v>0.5454545454545455</v>
      </c>
      <c r="I44" s="40">
        <f>COUNTIF(Vertices[Out-Degree],"&gt;= "&amp;H44)-COUNTIF(Vertices[Out-Degree],"&gt;="&amp;H45)</f>
        <v>0</v>
      </c>
      <c r="J44" s="39">
        <f t="shared" si="13"/>
        <v>0</v>
      </c>
      <c r="K44" s="40">
        <f>COUNTIF(Vertices[Betweenness Centrality],"&gt;= "&amp;J44)-COUNTIF(Vertices[Betweenness Centrality],"&gt;="&amp;J45)</f>
        <v>0</v>
      </c>
      <c r="L44" s="39">
        <f t="shared" si="14"/>
        <v>1</v>
      </c>
      <c r="M44" s="40">
        <f>COUNTIF(Vertices[Closeness Centrality],"&gt;= "&amp;L44)-COUNTIF(Vertices[Closeness Centrality],"&gt;="&amp;L45)</f>
        <v>0</v>
      </c>
      <c r="N44" s="39">
        <f t="shared" si="15"/>
        <v>0.166667</v>
      </c>
      <c r="O44" s="40">
        <f>COUNTIF(Vertices[Eigenvector Centrality],"&gt;= "&amp;N44)-COUNTIF(Vertices[Eigenvector Centrality],"&gt;="&amp;N45)</f>
        <v>0</v>
      </c>
      <c r="P44" s="39">
        <f t="shared" si="16"/>
        <v>0.999907</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0.5636363636363637</v>
      </c>
      <c r="G45" s="42">
        <f>COUNTIF(Vertices[In-Degree],"&gt;= "&amp;F45)-COUNTIF(Vertices[In-Degree],"&gt;="&amp;F46)</f>
        <v>0</v>
      </c>
      <c r="H45" s="41">
        <f t="shared" si="12"/>
        <v>0.5636363636363637</v>
      </c>
      <c r="I45" s="42">
        <f>COUNTIF(Vertices[Out-Degree],"&gt;= "&amp;H45)-COUNTIF(Vertices[Out-Degree],"&gt;="&amp;H46)</f>
        <v>0</v>
      </c>
      <c r="J45" s="41">
        <f t="shared" si="13"/>
        <v>0</v>
      </c>
      <c r="K45" s="42">
        <f>COUNTIF(Vertices[Betweenness Centrality],"&gt;= "&amp;J45)-COUNTIF(Vertices[Betweenness Centrality],"&gt;="&amp;J46)</f>
        <v>0</v>
      </c>
      <c r="L45" s="41">
        <f t="shared" si="14"/>
        <v>1</v>
      </c>
      <c r="M45" s="42">
        <f>COUNTIF(Vertices[Closeness Centrality],"&gt;= "&amp;L45)-COUNTIF(Vertices[Closeness Centrality],"&gt;="&amp;L46)</f>
        <v>0</v>
      </c>
      <c r="N45" s="41">
        <f t="shared" si="15"/>
        <v>0.166667</v>
      </c>
      <c r="O45" s="42">
        <f>COUNTIF(Vertices[Eigenvector Centrality],"&gt;= "&amp;N45)-COUNTIF(Vertices[Eigenvector Centrality],"&gt;="&amp;N46)</f>
        <v>0</v>
      </c>
      <c r="P45" s="41">
        <f t="shared" si="16"/>
        <v>0.999907</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0.5818181818181819</v>
      </c>
      <c r="G46" s="40">
        <f>COUNTIF(Vertices[In-Degree],"&gt;= "&amp;F46)-COUNTIF(Vertices[In-Degree],"&gt;="&amp;F47)</f>
        <v>0</v>
      </c>
      <c r="H46" s="39">
        <f t="shared" si="12"/>
        <v>0.5818181818181819</v>
      </c>
      <c r="I46" s="40">
        <f>COUNTIF(Vertices[Out-Degree],"&gt;= "&amp;H46)-COUNTIF(Vertices[Out-Degree],"&gt;="&amp;H47)</f>
        <v>0</v>
      </c>
      <c r="J46" s="39">
        <f t="shared" si="13"/>
        <v>0</v>
      </c>
      <c r="K46" s="40">
        <f>COUNTIF(Vertices[Betweenness Centrality],"&gt;= "&amp;J46)-COUNTIF(Vertices[Betweenness Centrality],"&gt;="&amp;J47)</f>
        <v>0</v>
      </c>
      <c r="L46" s="39">
        <f t="shared" si="14"/>
        <v>1</v>
      </c>
      <c r="M46" s="40">
        <f>COUNTIF(Vertices[Closeness Centrality],"&gt;= "&amp;L46)-COUNTIF(Vertices[Closeness Centrality],"&gt;="&amp;L47)</f>
        <v>0</v>
      </c>
      <c r="N46" s="39">
        <f t="shared" si="15"/>
        <v>0.166667</v>
      </c>
      <c r="O46" s="40">
        <f>COUNTIF(Vertices[Eigenvector Centrality],"&gt;= "&amp;N46)-COUNTIF(Vertices[Eigenvector Centrality],"&gt;="&amp;N47)</f>
        <v>0</v>
      </c>
      <c r="P46" s="39">
        <f t="shared" si="16"/>
        <v>0.999907</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0.6000000000000001</v>
      </c>
      <c r="G47" s="42">
        <f>COUNTIF(Vertices[In-Degree],"&gt;= "&amp;F47)-COUNTIF(Vertices[In-Degree],"&gt;="&amp;F48)</f>
        <v>0</v>
      </c>
      <c r="H47" s="41">
        <f t="shared" si="12"/>
        <v>0.6000000000000001</v>
      </c>
      <c r="I47" s="42">
        <f>COUNTIF(Vertices[Out-Degree],"&gt;= "&amp;H47)-COUNTIF(Vertices[Out-Degree],"&gt;="&amp;H48)</f>
        <v>0</v>
      </c>
      <c r="J47" s="41">
        <f t="shared" si="13"/>
        <v>0</v>
      </c>
      <c r="K47" s="42">
        <f>COUNTIF(Vertices[Betweenness Centrality],"&gt;= "&amp;J47)-COUNTIF(Vertices[Betweenness Centrality],"&gt;="&amp;J48)</f>
        <v>0</v>
      </c>
      <c r="L47" s="41">
        <f t="shared" si="14"/>
        <v>1</v>
      </c>
      <c r="M47" s="42">
        <f>COUNTIF(Vertices[Closeness Centrality],"&gt;= "&amp;L47)-COUNTIF(Vertices[Closeness Centrality],"&gt;="&amp;L48)</f>
        <v>0</v>
      </c>
      <c r="N47" s="41">
        <f t="shared" si="15"/>
        <v>0.166667</v>
      </c>
      <c r="O47" s="42">
        <f>COUNTIF(Vertices[Eigenvector Centrality],"&gt;= "&amp;N47)-COUNTIF(Vertices[Eigenvector Centrality],"&gt;="&amp;N48)</f>
        <v>0</v>
      </c>
      <c r="P47" s="41">
        <f t="shared" si="16"/>
        <v>0.999907</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0.6181818181818183</v>
      </c>
      <c r="G48" s="40">
        <f>COUNTIF(Vertices[In-Degree],"&gt;= "&amp;F48)-COUNTIF(Vertices[In-Degree],"&gt;="&amp;F49)</f>
        <v>0</v>
      </c>
      <c r="H48" s="39">
        <f t="shared" si="12"/>
        <v>0.6181818181818183</v>
      </c>
      <c r="I48" s="40">
        <f>COUNTIF(Vertices[Out-Degree],"&gt;= "&amp;H48)-COUNTIF(Vertices[Out-Degree],"&gt;="&amp;H49)</f>
        <v>0</v>
      </c>
      <c r="J48" s="39">
        <f t="shared" si="13"/>
        <v>0</v>
      </c>
      <c r="K48" s="40">
        <f>COUNTIF(Vertices[Betweenness Centrality],"&gt;= "&amp;J48)-COUNTIF(Vertices[Betweenness Centrality],"&gt;="&amp;J49)</f>
        <v>0</v>
      </c>
      <c r="L48" s="39">
        <f t="shared" si="14"/>
        <v>1</v>
      </c>
      <c r="M48" s="40">
        <f>COUNTIF(Vertices[Closeness Centrality],"&gt;= "&amp;L48)-COUNTIF(Vertices[Closeness Centrality],"&gt;="&amp;L49)</f>
        <v>0</v>
      </c>
      <c r="N48" s="39">
        <f t="shared" si="15"/>
        <v>0.166667</v>
      </c>
      <c r="O48" s="40">
        <f>COUNTIF(Vertices[Eigenvector Centrality],"&gt;= "&amp;N48)-COUNTIF(Vertices[Eigenvector Centrality],"&gt;="&amp;N49)</f>
        <v>0</v>
      </c>
      <c r="P48" s="39">
        <f t="shared" si="16"/>
        <v>0.999907</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0.6363636363636365</v>
      </c>
      <c r="G49" s="42">
        <f>COUNTIF(Vertices[In-Degree],"&gt;= "&amp;F49)-COUNTIF(Vertices[In-Degree],"&gt;="&amp;F50)</f>
        <v>0</v>
      </c>
      <c r="H49" s="41">
        <f t="shared" si="12"/>
        <v>0.6363636363636365</v>
      </c>
      <c r="I49" s="42">
        <f>COUNTIF(Vertices[Out-Degree],"&gt;= "&amp;H49)-COUNTIF(Vertices[Out-Degree],"&gt;="&amp;H50)</f>
        <v>0</v>
      </c>
      <c r="J49" s="41">
        <f t="shared" si="13"/>
        <v>0</v>
      </c>
      <c r="K49" s="42">
        <f>COUNTIF(Vertices[Betweenness Centrality],"&gt;= "&amp;J49)-COUNTIF(Vertices[Betweenness Centrality],"&gt;="&amp;J50)</f>
        <v>0</v>
      </c>
      <c r="L49" s="41">
        <f t="shared" si="14"/>
        <v>1</v>
      </c>
      <c r="M49" s="42">
        <f>COUNTIF(Vertices[Closeness Centrality],"&gt;= "&amp;L49)-COUNTIF(Vertices[Closeness Centrality],"&gt;="&amp;L50)</f>
        <v>0</v>
      </c>
      <c r="N49" s="41">
        <f t="shared" si="15"/>
        <v>0.166667</v>
      </c>
      <c r="O49" s="42">
        <f>COUNTIF(Vertices[Eigenvector Centrality],"&gt;= "&amp;N49)-COUNTIF(Vertices[Eigenvector Centrality],"&gt;="&amp;N50)</f>
        <v>0</v>
      </c>
      <c r="P49" s="41">
        <f t="shared" si="16"/>
        <v>0.999907</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0.6545454545454547</v>
      </c>
      <c r="G50" s="40">
        <f>COUNTIF(Vertices[In-Degree],"&gt;= "&amp;F50)-COUNTIF(Vertices[In-Degree],"&gt;="&amp;F51)</f>
        <v>0</v>
      </c>
      <c r="H50" s="39">
        <f t="shared" si="12"/>
        <v>0.6545454545454547</v>
      </c>
      <c r="I50" s="40">
        <f>COUNTIF(Vertices[Out-Degree],"&gt;= "&amp;H50)-COUNTIF(Vertices[Out-Degree],"&gt;="&amp;H51)</f>
        <v>0</v>
      </c>
      <c r="J50" s="39">
        <f t="shared" si="13"/>
        <v>0</v>
      </c>
      <c r="K50" s="40">
        <f>COUNTIF(Vertices[Betweenness Centrality],"&gt;= "&amp;J50)-COUNTIF(Vertices[Betweenness Centrality],"&gt;="&amp;J51)</f>
        <v>0</v>
      </c>
      <c r="L50" s="39">
        <f t="shared" si="14"/>
        <v>1</v>
      </c>
      <c r="M50" s="40">
        <f>COUNTIF(Vertices[Closeness Centrality],"&gt;= "&amp;L50)-COUNTIF(Vertices[Closeness Centrality],"&gt;="&amp;L51)</f>
        <v>0</v>
      </c>
      <c r="N50" s="39">
        <f t="shared" si="15"/>
        <v>0.166667</v>
      </c>
      <c r="O50" s="40">
        <f>COUNTIF(Vertices[Eigenvector Centrality],"&gt;= "&amp;N50)-COUNTIF(Vertices[Eigenvector Centrality],"&gt;="&amp;N51)</f>
        <v>0</v>
      </c>
      <c r="P50" s="39">
        <f t="shared" si="16"/>
        <v>0.999907</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0.6727272727272728</v>
      </c>
      <c r="G51" s="42">
        <f>COUNTIF(Vertices[In-Degree],"&gt;= "&amp;F51)-COUNTIF(Vertices[In-Degree],"&gt;="&amp;F52)</f>
        <v>0</v>
      </c>
      <c r="H51" s="41">
        <f t="shared" si="12"/>
        <v>0.6727272727272728</v>
      </c>
      <c r="I51" s="42">
        <f>COUNTIF(Vertices[Out-Degree],"&gt;= "&amp;H51)-COUNTIF(Vertices[Out-Degree],"&gt;="&amp;H52)</f>
        <v>0</v>
      </c>
      <c r="J51" s="41">
        <f t="shared" si="13"/>
        <v>0</v>
      </c>
      <c r="K51" s="42">
        <f>COUNTIF(Vertices[Betweenness Centrality],"&gt;= "&amp;J51)-COUNTIF(Vertices[Betweenness Centrality],"&gt;="&amp;J52)</f>
        <v>0</v>
      </c>
      <c r="L51" s="41">
        <f t="shared" si="14"/>
        <v>1</v>
      </c>
      <c r="M51" s="42">
        <f>COUNTIF(Vertices[Closeness Centrality],"&gt;= "&amp;L51)-COUNTIF(Vertices[Closeness Centrality],"&gt;="&amp;L52)</f>
        <v>0</v>
      </c>
      <c r="N51" s="41">
        <f t="shared" si="15"/>
        <v>0.166667</v>
      </c>
      <c r="O51" s="42">
        <f>COUNTIF(Vertices[Eigenvector Centrality],"&gt;= "&amp;N51)-COUNTIF(Vertices[Eigenvector Centrality],"&gt;="&amp;N52)</f>
        <v>0</v>
      </c>
      <c r="P51" s="41">
        <f t="shared" si="16"/>
        <v>0.999907</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0.690909090909091</v>
      </c>
      <c r="G52" s="40">
        <f>COUNTIF(Vertices[In-Degree],"&gt;= "&amp;F52)-COUNTIF(Vertices[In-Degree],"&gt;="&amp;F53)</f>
        <v>0</v>
      </c>
      <c r="H52" s="39">
        <f t="shared" si="12"/>
        <v>0.690909090909091</v>
      </c>
      <c r="I52" s="40">
        <f>COUNTIF(Vertices[Out-Degree],"&gt;= "&amp;H52)-COUNTIF(Vertices[Out-Degree],"&gt;="&amp;H53)</f>
        <v>0</v>
      </c>
      <c r="J52" s="39">
        <f t="shared" si="13"/>
        <v>0</v>
      </c>
      <c r="K52" s="40">
        <f>COUNTIF(Vertices[Betweenness Centrality],"&gt;= "&amp;J52)-COUNTIF(Vertices[Betweenness Centrality],"&gt;="&amp;J53)</f>
        <v>0</v>
      </c>
      <c r="L52" s="39">
        <f t="shared" si="14"/>
        <v>1</v>
      </c>
      <c r="M52" s="40">
        <f>COUNTIF(Vertices[Closeness Centrality],"&gt;= "&amp;L52)-COUNTIF(Vertices[Closeness Centrality],"&gt;="&amp;L53)</f>
        <v>0</v>
      </c>
      <c r="N52" s="39">
        <f t="shared" si="15"/>
        <v>0.166667</v>
      </c>
      <c r="O52" s="40">
        <f>COUNTIF(Vertices[Eigenvector Centrality],"&gt;= "&amp;N52)-COUNTIF(Vertices[Eigenvector Centrality],"&gt;="&amp;N53)</f>
        <v>0</v>
      </c>
      <c r="P52" s="39">
        <f t="shared" si="16"/>
        <v>0.999907</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0.7090909090909092</v>
      </c>
      <c r="G53" s="42">
        <f>COUNTIF(Vertices[In-Degree],"&gt;= "&amp;F53)-COUNTIF(Vertices[In-Degree],"&gt;="&amp;F54)</f>
        <v>0</v>
      </c>
      <c r="H53" s="41">
        <f t="shared" si="12"/>
        <v>0.7090909090909092</v>
      </c>
      <c r="I53" s="42">
        <f>COUNTIF(Vertices[Out-Degree],"&gt;= "&amp;H53)-COUNTIF(Vertices[Out-Degree],"&gt;="&amp;H54)</f>
        <v>0</v>
      </c>
      <c r="J53" s="41">
        <f t="shared" si="13"/>
        <v>0</v>
      </c>
      <c r="K53" s="42">
        <f>COUNTIF(Vertices[Betweenness Centrality],"&gt;= "&amp;J53)-COUNTIF(Vertices[Betweenness Centrality],"&gt;="&amp;J54)</f>
        <v>0</v>
      </c>
      <c r="L53" s="41">
        <f t="shared" si="14"/>
        <v>1</v>
      </c>
      <c r="M53" s="42">
        <f>COUNTIF(Vertices[Closeness Centrality],"&gt;= "&amp;L53)-COUNTIF(Vertices[Closeness Centrality],"&gt;="&amp;L54)</f>
        <v>0</v>
      </c>
      <c r="N53" s="41">
        <f t="shared" si="15"/>
        <v>0.166667</v>
      </c>
      <c r="O53" s="42">
        <f>COUNTIF(Vertices[Eigenvector Centrality],"&gt;= "&amp;N53)-COUNTIF(Vertices[Eigenvector Centrality],"&gt;="&amp;N54)</f>
        <v>0</v>
      </c>
      <c r="P53" s="41">
        <f t="shared" si="16"/>
        <v>0.999907</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0.7272727272727274</v>
      </c>
      <c r="G54" s="40">
        <f>COUNTIF(Vertices[In-Degree],"&gt;= "&amp;F54)-COUNTIF(Vertices[In-Degree],"&gt;="&amp;F55)</f>
        <v>0</v>
      </c>
      <c r="H54" s="39">
        <f t="shared" si="12"/>
        <v>0.7272727272727274</v>
      </c>
      <c r="I54" s="40">
        <f>COUNTIF(Vertices[Out-Degree],"&gt;= "&amp;H54)-COUNTIF(Vertices[Out-Degree],"&gt;="&amp;H55)</f>
        <v>0</v>
      </c>
      <c r="J54" s="39">
        <f t="shared" si="13"/>
        <v>0</v>
      </c>
      <c r="K54" s="40">
        <f>COUNTIF(Vertices[Betweenness Centrality],"&gt;= "&amp;J54)-COUNTIF(Vertices[Betweenness Centrality],"&gt;="&amp;J55)</f>
        <v>0</v>
      </c>
      <c r="L54" s="39">
        <f t="shared" si="14"/>
        <v>1</v>
      </c>
      <c r="M54" s="40">
        <f>COUNTIF(Vertices[Closeness Centrality],"&gt;= "&amp;L54)-COUNTIF(Vertices[Closeness Centrality],"&gt;="&amp;L55)</f>
        <v>0</v>
      </c>
      <c r="N54" s="39">
        <f t="shared" si="15"/>
        <v>0.166667</v>
      </c>
      <c r="O54" s="40">
        <f>COUNTIF(Vertices[Eigenvector Centrality],"&gt;= "&amp;N54)-COUNTIF(Vertices[Eigenvector Centrality],"&gt;="&amp;N55)</f>
        <v>0</v>
      </c>
      <c r="P54" s="39">
        <f t="shared" si="16"/>
        <v>0.999907</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0.7454545454545456</v>
      </c>
      <c r="G55" s="42">
        <f>COUNTIF(Vertices[In-Degree],"&gt;= "&amp;F55)-COUNTIF(Vertices[In-Degree],"&gt;="&amp;F56)</f>
        <v>0</v>
      </c>
      <c r="H55" s="41">
        <f t="shared" si="12"/>
        <v>0.7454545454545456</v>
      </c>
      <c r="I55" s="42">
        <f>COUNTIF(Vertices[Out-Degree],"&gt;= "&amp;H55)-COUNTIF(Vertices[Out-Degree],"&gt;="&amp;H56)</f>
        <v>0</v>
      </c>
      <c r="J55" s="41">
        <f t="shared" si="13"/>
        <v>0</v>
      </c>
      <c r="K55" s="42">
        <f>COUNTIF(Vertices[Betweenness Centrality],"&gt;= "&amp;J55)-COUNTIF(Vertices[Betweenness Centrality],"&gt;="&amp;J56)</f>
        <v>0</v>
      </c>
      <c r="L55" s="41">
        <f t="shared" si="14"/>
        <v>1</v>
      </c>
      <c r="M55" s="42">
        <f>COUNTIF(Vertices[Closeness Centrality],"&gt;= "&amp;L55)-COUNTIF(Vertices[Closeness Centrality],"&gt;="&amp;L56)</f>
        <v>0</v>
      </c>
      <c r="N55" s="41">
        <f t="shared" si="15"/>
        <v>0.166667</v>
      </c>
      <c r="O55" s="42">
        <f>COUNTIF(Vertices[Eigenvector Centrality],"&gt;= "&amp;N55)-COUNTIF(Vertices[Eigenvector Centrality],"&gt;="&amp;N56)</f>
        <v>0</v>
      </c>
      <c r="P55" s="41">
        <f t="shared" si="16"/>
        <v>0.999907</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0.7636363636363638</v>
      </c>
      <c r="G56" s="40">
        <f>COUNTIF(Vertices[In-Degree],"&gt;= "&amp;F56)-COUNTIF(Vertices[In-Degree],"&gt;="&amp;F57)</f>
        <v>0</v>
      </c>
      <c r="H56" s="39">
        <f t="shared" si="12"/>
        <v>0.7636363636363638</v>
      </c>
      <c r="I56" s="40">
        <f>COUNTIF(Vertices[Out-Degree],"&gt;= "&amp;H56)-COUNTIF(Vertices[Out-Degree],"&gt;="&amp;H57)</f>
        <v>0</v>
      </c>
      <c r="J56" s="39">
        <f t="shared" si="13"/>
        <v>0</v>
      </c>
      <c r="K56" s="40">
        <f>COUNTIF(Vertices[Betweenness Centrality],"&gt;= "&amp;J56)-COUNTIF(Vertices[Betweenness Centrality],"&gt;="&amp;J57)</f>
        <v>0</v>
      </c>
      <c r="L56" s="39">
        <f t="shared" si="14"/>
        <v>1</v>
      </c>
      <c r="M56" s="40">
        <f>COUNTIF(Vertices[Closeness Centrality],"&gt;= "&amp;L56)-COUNTIF(Vertices[Closeness Centrality],"&gt;="&amp;L57)</f>
        <v>0</v>
      </c>
      <c r="N56" s="39">
        <f t="shared" si="15"/>
        <v>0.166667</v>
      </c>
      <c r="O56" s="40">
        <f>COUNTIF(Vertices[Eigenvector Centrality],"&gt;= "&amp;N56)-COUNTIF(Vertices[Eigenvector Centrality],"&gt;="&amp;N57)</f>
        <v>0</v>
      </c>
      <c r="P56" s="39">
        <f t="shared" si="16"/>
        <v>0.999907</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v>
      </c>
      <c r="G57" s="44">
        <f>COUNTIF(Vertices[In-Degree],"&gt;= "&amp;F57)-COUNTIF(Vertices[In-Degree],"&gt;="&amp;F58)</f>
        <v>3</v>
      </c>
      <c r="H57" s="43">
        <f>MAX(Vertices[Out-Degree])</f>
        <v>1</v>
      </c>
      <c r="I57" s="44">
        <f>COUNTIF(Vertices[Out-Degree],"&gt;= "&amp;H57)-COUNTIF(Vertices[Out-Degree],"&gt;="&amp;H58)</f>
        <v>3</v>
      </c>
      <c r="J57" s="43">
        <f>MAX(Vertices[Betweenness Centrality])</f>
        <v>0</v>
      </c>
      <c r="K57" s="44">
        <f>COUNTIF(Vertices[Betweenness Centrality],"&gt;= "&amp;J57)-COUNTIF(Vertices[Betweenness Centrality],"&gt;="&amp;J58)</f>
        <v>6</v>
      </c>
      <c r="L57" s="43">
        <f>MAX(Vertices[Closeness Centrality])</f>
        <v>1</v>
      </c>
      <c r="M57" s="44">
        <f>COUNTIF(Vertices[Closeness Centrality],"&gt;= "&amp;L57)-COUNTIF(Vertices[Closeness Centrality],"&gt;="&amp;L58)</f>
        <v>6</v>
      </c>
      <c r="N57" s="43">
        <f>MAX(Vertices[Eigenvector Centrality])</f>
        <v>0.166667</v>
      </c>
      <c r="O57" s="44">
        <f>COUNTIF(Vertices[Eigenvector Centrality],"&gt;= "&amp;N57)-COUNTIF(Vertices[Eigenvector Centrality],"&gt;="&amp;N58)</f>
        <v>6</v>
      </c>
      <c r="P57" s="43">
        <f>MAX(Vertices[PageRank])</f>
        <v>0.999907</v>
      </c>
      <c r="Q57" s="44">
        <f>COUNTIF(Vertices[PageRank],"&gt;= "&amp;P57)-COUNTIF(Vertices[PageRank],"&gt;="&amp;P58)</f>
        <v>6</v>
      </c>
      <c r="R57" s="43">
        <f>MAX(Vertices[Clustering Coefficient])</f>
        <v>0</v>
      </c>
      <c r="S57" s="47">
        <f>COUNTIF(Vertices[Clustering Coefficient],"&gt;= "&amp;R57)-COUNTIF(Vertices[Clustering Coefficient],"&gt;="&amp;R58)</f>
        <v>6</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1</v>
      </c>
    </row>
    <row r="71" spans="1:2" ht="15">
      <c r="A71" s="35" t="s">
        <v>90</v>
      </c>
      <c r="B71" s="49">
        <f>_xlfn.IFERROR(AVERAGE(Vertices[In-Degree]),NoMetricMessage)</f>
        <v>0.5</v>
      </c>
    </row>
    <row r="72" spans="1:2" ht="15">
      <c r="A72" s="35" t="s">
        <v>91</v>
      </c>
      <c r="B72" s="49">
        <f>_xlfn.IFERROR(MEDIAN(Vertices[In-Degree]),NoMetricMessage)</f>
        <v>0.5</v>
      </c>
    </row>
    <row r="83" spans="1:2" ht="15">
      <c r="A83" s="35" t="s">
        <v>94</v>
      </c>
      <c r="B83" s="48">
        <f>IF(COUNT(Vertices[Out-Degree])&gt;0,H2,NoMetricMessage)</f>
        <v>0</v>
      </c>
    </row>
    <row r="84" spans="1:2" ht="15">
      <c r="A84" s="35" t="s">
        <v>95</v>
      </c>
      <c r="B84" s="48">
        <f>IF(COUNT(Vertices[Out-Degree])&gt;0,H57,NoMetricMessage)</f>
        <v>1</v>
      </c>
    </row>
    <row r="85" spans="1:2" ht="15">
      <c r="A85" s="35" t="s">
        <v>96</v>
      </c>
      <c r="B85" s="49">
        <f>_xlfn.IFERROR(AVERAGE(Vertices[Out-Degree]),NoMetricMessage)</f>
        <v>0.5</v>
      </c>
    </row>
    <row r="86" spans="1:2" ht="15">
      <c r="A86" s="35" t="s">
        <v>97</v>
      </c>
      <c r="B86" s="49">
        <f>_xlfn.IFERROR(MEDIAN(Vertices[Out-Degree]),NoMetricMessage)</f>
        <v>0.5</v>
      </c>
    </row>
    <row r="97" spans="1:2" ht="15">
      <c r="A97" s="35" t="s">
        <v>100</v>
      </c>
      <c r="B97" s="49">
        <f>IF(COUNT(Vertices[Betweenness Centrality])&gt;0,J2,NoMetricMessage)</f>
        <v>0</v>
      </c>
    </row>
    <row r="98" spans="1:2" ht="15">
      <c r="A98" s="35" t="s">
        <v>101</v>
      </c>
      <c r="B98" s="49">
        <f>IF(COUNT(Vertices[Betweenness Centrality])&gt;0,J57,NoMetricMessage)</f>
        <v>0</v>
      </c>
    </row>
    <row r="99" spans="1:2" ht="15">
      <c r="A99" s="35" t="s">
        <v>102</v>
      </c>
      <c r="B99" s="49">
        <f>_xlfn.IFERROR(AVERAGE(Vertices[Betweenness Centrality]),NoMetricMessage)</f>
        <v>0</v>
      </c>
    </row>
    <row r="100" spans="1:2" ht="15">
      <c r="A100" s="35" t="s">
        <v>103</v>
      </c>
      <c r="B100" s="49">
        <f>_xlfn.IFERROR(MEDIAN(Vertices[Betweenness Centrality]),NoMetricMessage)</f>
        <v>0</v>
      </c>
    </row>
    <row r="111" spans="1:2" ht="15">
      <c r="A111" s="35" t="s">
        <v>106</v>
      </c>
      <c r="B111" s="49">
        <f>IF(COUNT(Vertices[Closeness Centrality])&gt;0,L2,NoMetricMessage)</f>
        <v>1</v>
      </c>
    </row>
    <row r="112" spans="1:2" ht="15">
      <c r="A112" s="35" t="s">
        <v>107</v>
      </c>
      <c r="B112" s="49">
        <f>IF(COUNT(Vertices[Closeness Centrality])&gt;0,L57,NoMetricMessage)</f>
        <v>1</v>
      </c>
    </row>
    <row r="113" spans="1:2" ht="15">
      <c r="A113" s="35" t="s">
        <v>108</v>
      </c>
      <c r="B113" s="49">
        <f>_xlfn.IFERROR(AVERAGE(Vertices[Closeness Centrality]),NoMetricMessage)</f>
        <v>1</v>
      </c>
    </row>
    <row r="114" spans="1:2" ht="15">
      <c r="A114" s="35" t="s">
        <v>109</v>
      </c>
      <c r="B114" s="49">
        <f>_xlfn.IFERROR(MEDIAN(Vertices[Closeness Centrality]),NoMetricMessage)</f>
        <v>1</v>
      </c>
    </row>
    <row r="125" spans="1:2" ht="15">
      <c r="A125" s="35" t="s">
        <v>112</v>
      </c>
      <c r="B125" s="49">
        <f>IF(COUNT(Vertices[Eigenvector Centrality])&gt;0,N2,NoMetricMessage)</f>
        <v>0.166667</v>
      </c>
    </row>
    <row r="126" spans="1:2" ht="15">
      <c r="A126" s="35" t="s">
        <v>113</v>
      </c>
      <c r="B126" s="49">
        <f>IF(COUNT(Vertices[Eigenvector Centrality])&gt;0,N57,NoMetricMessage)</f>
        <v>0.166667</v>
      </c>
    </row>
    <row r="127" spans="1:2" ht="15">
      <c r="A127" s="35" t="s">
        <v>114</v>
      </c>
      <c r="B127" s="49">
        <f>_xlfn.IFERROR(AVERAGE(Vertices[Eigenvector Centrality]),NoMetricMessage)</f>
        <v>0.166667</v>
      </c>
    </row>
    <row r="128" spans="1:2" ht="15">
      <c r="A128" s="35" t="s">
        <v>115</v>
      </c>
      <c r="B128" s="49">
        <f>_xlfn.IFERROR(MEDIAN(Vertices[Eigenvector Centrality]),NoMetricMessage)</f>
        <v>0.166667</v>
      </c>
    </row>
    <row r="139" spans="1:2" ht="15">
      <c r="A139" s="35" t="s">
        <v>140</v>
      </c>
      <c r="B139" s="49">
        <f>IF(COUNT(Vertices[PageRank])&gt;0,P2,NoMetricMessage)</f>
        <v>0.999907</v>
      </c>
    </row>
    <row r="140" spans="1:2" ht="15">
      <c r="A140" s="35" t="s">
        <v>141</v>
      </c>
      <c r="B140" s="49">
        <f>IF(COUNT(Vertices[PageRank])&gt;0,P57,NoMetricMessage)</f>
        <v>0.999907</v>
      </c>
    </row>
    <row r="141" spans="1:2" ht="15">
      <c r="A141" s="35" t="s">
        <v>142</v>
      </c>
      <c r="B141" s="49">
        <f>_xlfn.IFERROR(AVERAGE(Vertices[PageRank]),NoMetricMessage)</f>
        <v>0.999907</v>
      </c>
    </row>
    <row r="142" spans="1:2" ht="15">
      <c r="A142" s="35" t="s">
        <v>143</v>
      </c>
      <c r="B142" s="49">
        <f>_xlfn.IFERROR(MEDIAN(Vertices[PageRank]),NoMetricMessage)</f>
        <v>0.999907</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303</v>
      </c>
      <c r="K7" s="13" t="s">
        <v>304</v>
      </c>
    </row>
    <row r="8" spans="1:11" ht="409.5">
      <c r="A8"/>
      <c r="B8">
        <v>2</v>
      </c>
      <c r="C8">
        <v>2</v>
      </c>
      <c r="D8" t="s">
        <v>61</v>
      </c>
      <c r="E8" t="s">
        <v>61</v>
      </c>
      <c r="H8" t="s">
        <v>73</v>
      </c>
      <c r="J8" t="s">
        <v>305</v>
      </c>
      <c r="K8" s="13" t="s">
        <v>306</v>
      </c>
    </row>
    <row r="9" spans="1:11" ht="409.5">
      <c r="A9"/>
      <c r="B9">
        <v>3</v>
      </c>
      <c r="C9">
        <v>4</v>
      </c>
      <c r="D9" t="s">
        <v>62</v>
      </c>
      <c r="E9" t="s">
        <v>62</v>
      </c>
      <c r="H9" t="s">
        <v>74</v>
      </c>
      <c r="J9" t="s">
        <v>307</v>
      </c>
      <c r="K9" s="13" t="s">
        <v>308</v>
      </c>
    </row>
    <row r="10" spans="1:11" ht="409.5">
      <c r="A10"/>
      <c r="B10">
        <v>4</v>
      </c>
      <c r="D10" t="s">
        <v>63</v>
      </c>
      <c r="E10" t="s">
        <v>63</v>
      </c>
      <c r="H10" t="s">
        <v>75</v>
      </c>
      <c r="J10" t="s">
        <v>309</v>
      </c>
      <c r="K10" s="13" t="s">
        <v>310</v>
      </c>
    </row>
    <row r="11" spans="1:11" ht="15">
      <c r="A11"/>
      <c r="B11">
        <v>5</v>
      </c>
      <c r="D11" t="s">
        <v>46</v>
      </c>
      <c r="E11">
        <v>1</v>
      </c>
      <c r="H11" t="s">
        <v>76</v>
      </c>
      <c r="J11" t="s">
        <v>311</v>
      </c>
      <c r="K11" t="s">
        <v>312</v>
      </c>
    </row>
    <row r="12" spans="1:11" ht="15">
      <c r="A12"/>
      <c r="B12"/>
      <c r="D12" t="s">
        <v>64</v>
      </c>
      <c r="E12">
        <v>2</v>
      </c>
      <c r="H12">
        <v>0</v>
      </c>
      <c r="J12" t="s">
        <v>313</v>
      </c>
      <c r="K12" t="s">
        <v>314</v>
      </c>
    </row>
    <row r="13" spans="1:11" ht="15">
      <c r="A13"/>
      <c r="B13"/>
      <c r="D13">
        <v>1</v>
      </c>
      <c r="E13">
        <v>3</v>
      </c>
      <c r="H13">
        <v>1</v>
      </c>
      <c r="J13" t="s">
        <v>315</v>
      </c>
      <c r="K13" t="s">
        <v>316</v>
      </c>
    </row>
    <row r="14" spans="4:11" ht="15">
      <c r="D14">
        <v>2</v>
      </c>
      <c r="E14">
        <v>4</v>
      </c>
      <c r="H14">
        <v>2</v>
      </c>
      <c r="J14" t="s">
        <v>317</v>
      </c>
      <c r="K14" t="s">
        <v>318</v>
      </c>
    </row>
    <row r="15" spans="4:11" ht="15">
      <c r="D15">
        <v>3</v>
      </c>
      <c r="E15">
        <v>5</v>
      </c>
      <c r="H15">
        <v>3</v>
      </c>
      <c r="J15" t="s">
        <v>319</v>
      </c>
      <c r="K15" t="s">
        <v>320</v>
      </c>
    </row>
    <row r="16" spans="4:11" ht="15">
      <c r="D16">
        <v>4</v>
      </c>
      <c r="E16">
        <v>6</v>
      </c>
      <c r="H16">
        <v>4</v>
      </c>
      <c r="J16" t="s">
        <v>321</v>
      </c>
      <c r="K16" t="s">
        <v>322</v>
      </c>
    </row>
    <row r="17" spans="4:11" ht="15">
      <c r="D17">
        <v>5</v>
      </c>
      <c r="E17">
        <v>7</v>
      </c>
      <c r="H17">
        <v>5</v>
      </c>
      <c r="J17" t="s">
        <v>323</v>
      </c>
      <c r="K17" t="s">
        <v>324</v>
      </c>
    </row>
    <row r="18" spans="4:11" ht="15">
      <c r="D18">
        <v>6</v>
      </c>
      <c r="E18">
        <v>8</v>
      </c>
      <c r="H18">
        <v>6</v>
      </c>
      <c r="J18" t="s">
        <v>325</v>
      </c>
      <c r="K18" t="s">
        <v>326</v>
      </c>
    </row>
    <row r="19" spans="4:11" ht="15">
      <c r="D19">
        <v>7</v>
      </c>
      <c r="E19">
        <v>9</v>
      </c>
      <c r="H19">
        <v>7</v>
      </c>
      <c r="J19" t="s">
        <v>327</v>
      </c>
      <c r="K19" t="s">
        <v>328</v>
      </c>
    </row>
    <row r="20" spans="4:11" ht="15">
      <c r="D20">
        <v>8</v>
      </c>
      <c r="H20">
        <v>8</v>
      </c>
      <c r="J20" t="s">
        <v>329</v>
      </c>
      <c r="K20" t="s">
        <v>330</v>
      </c>
    </row>
    <row r="21" spans="4:11" ht="409.5">
      <c r="D21">
        <v>9</v>
      </c>
      <c r="H21">
        <v>9</v>
      </c>
      <c r="J21" t="s">
        <v>331</v>
      </c>
      <c r="K21" s="13" t="s">
        <v>332</v>
      </c>
    </row>
    <row r="22" spans="4:11" ht="409.5">
      <c r="D22">
        <v>10</v>
      </c>
      <c r="J22" t="s">
        <v>333</v>
      </c>
      <c r="K22" s="13" t="s">
        <v>334</v>
      </c>
    </row>
    <row r="23" spans="4:11" ht="409.5">
      <c r="D23">
        <v>11</v>
      </c>
      <c r="J23" t="s">
        <v>335</v>
      </c>
      <c r="K23" s="13" t="s">
        <v>336</v>
      </c>
    </row>
    <row r="24" spans="10:11" ht="409.5">
      <c r="J24" t="s">
        <v>337</v>
      </c>
      <c r="K24" s="13" t="s">
        <v>464</v>
      </c>
    </row>
    <row r="25" spans="10:11" ht="15">
      <c r="J25" t="s">
        <v>338</v>
      </c>
      <c r="K25" t="b">
        <v>0</v>
      </c>
    </row>
    <row r="26" spans="10:11" ht="15">
      <c r="J26" t="s">
        <v>462</v>
      </c>
      <c r="K26" t="s">
        <v>463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349</v>
      </c>
      <c r="B2" s="128" t="s">
        <v>350</v>
      </c>
      <c r="C2" s="67" t="s">
        <v>351</v>
      </c>
    </row>
    <row r="3" spans="1:3" ht="15">
      <c r="A3" s="127" t="s">
        <v>340</v>
      </c>
      <c r="B3" s="127" t="s">
        <v>340</v>
      </c>
      <c r="C3" s="36">
        <v>1</v>
      </c>
    </row>
    <row r="4" spans="1:3" ht="15">
      <c r="A4" s="127" t="s">
        <v>341</v>
      </c>
      <c r="B4" s="127" t="s">
        <v>341</v>
      </c>
      <c r="C4" s="36">
        <v>1</v>
      </c>
    </row>
    <row r="5" spans="1:3" ht="15">
      <c r="A5" s="127" t="s">
        <v>342</v>
      </c>
      <c r="B5" s="127" t="s">
        <v>342</v>
      </c>
      <c r="C5" s="36">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85" t="s">
        <v>357</v>
      </c>
      <c r="B1" s="85" t="s">
        <v>358</v>
      </c>
      <c r="C1" s="85" t="s">
        <v>359</v>
      </c>
      <c r="D1" s="85" t="s">
        <v>361</v>
      </c>
      <c r="E1" s="85" t="s">
        <v>360</v>
      </c>
      <c r="F1" s="85" t="s">
        <v>363</v>
      </c>
      <c r="G1" s="85" t="s">
        <v>362</v>
      </c>
      <c r="H1" s="85" t="s">
        <v>364</v>
      </c>
    </row>
    <row r="2" spans="1:8" ht="15">
      <c r="A2" s="85"/>
      <c r="B2" s="85"/>
      <c r="C2" s="85"/>
      <c r="D2" s="85"/>
      <c r="E2" s="85"/>
      <c r="F2" s="85"/>
      <c r="G2" s="85"/>
      <c r="H2" s="85"/>
    </row>
    <row r="4" spans="1:8" ht="15" customHeight="1">
      <c r="A4" s="85" t="s">
        <v>366</v>
      </c>
      <c r="B4" s="85" t="s">
        <v>358</v>
      </c>
      <c r="C4" s="85" t="s">
        <v>367</v>
      </c>
      <c r="D4" s="85" t="s">
        <v>361</v>
      </c>
      <c r="E4" s="85" t="s">
        <v>368</v>
      </c>
      <c r="F4" s="85" t="s">
        <v>363</v>
      </c>
      <c r="G4" s="85" t="s">
        <v>369</v>
      </c>
      <c r="H4" s="85" t="s">
        <v>364</v>
      </c>
    </row>
    <row r="5" spans="1:8" ht="15">
      <c r="A5" s="85"/>
      <c r="B5" s="85"/>
      <c r="C5" s="85"/>
      <c r="D5" s="85"/>
      <c r="E5" s="85"/>
      <c r="F5" s="85"/>
      <c r="G5" s="85"/>
      <c r="H5" s="85"/>
    </row>
    <row r="7" spans="1:8" ht="15" customHeight="1">
      <c r="A7" s="13" t="s">
        <v>371</v>
      </c>
      <c r="B7" s="13" t="s">
        <v>358</v>
      </c>
      <c r="C7" s="85" t="s">
        <v>373</v>
      </c>
      <c r="D7" s="85" t="s">
        <v>361</v>
      </c>
      <c r="E7" s="13" t="s">
        <v>374</v>
      </c>
      <c r="F7" s="13" t="s">
        <v>363</v>
      </c>
      <c r="G7" s="13" t="s">
        <v>375</v>
      </c>
      <c r="H7" s="13" t="s">
        <v>364</v>
      </c>
    </row>
    <row r="8" spans="1:8" ht="15">
      <c r="A8" s="85" t="s">
        <v>223</v>
      </c>
      <c r="B8" s="85">
        <v>2</v>
      </c>
      <c r="C8" s="85"/>
      <c r="D8" s="85"/>
      <c r="E8" s="85" t="s">
        <v>372</v>
      </c>
      <c r="F8" s="85">
        <v>1</v>
      </c>
      <c r="G8" s="85" t="s">
        <v>223</v>
      </c>
      <c r="H8" s="85">
        <v>1</v>
      </c>
    </row>
    <row r="9" spans="1:8" ht="15">
      <c r="A9" s="85" t="s">
        <v>372</v>
      </c>
      <c r="B9" s="85">
        <v>1</v>
      </c>
      <c r="C9" s="85"/>
      <c r="D9" s="85"/>
      <c r="E9" s="85" t="s">
        <v>223</v>
      </c>
      <c r="F9" s="85">
        <v>1</v>
      </c>
      <c r="G9" s="85"/>
      <c r="H9" s="85"/>
    </row>
    <row r="12" spans="1:8" ht="15" customHeight="1">
      <c r="A12" s="13" t="s">
        <v>377</v>
      </c>
      <c r="B12" s="13" t="s">
        <v>358</v>
      </c>
      <c r="C12" s="85" t="s">
        <v>386</v>
      </c>
      <c r="D12" s="85" t="s">
        <v>361</v>
      </c>
      <c r="E12" s="13" t="s">
        <v>387</v>
      </c>
      <c r="F12" s="13" t="s">
        <v>363</v>
      </c>
      <c r="G12" s="85" t="s">
        <v>388</v>
      </c>
      <c r="H12" s="85" t="s">
        <v>364</v>
      </c>
    </row>
    <row r="13" spans="1:8" ht="15">
      <c r="A13" s="91" t="s">
        <v>378</v>
      </c>
      <c r="B13" s="91">
        <v>1</v>
      </c>
      <c r="C13" s="91"/>
      <c r="D13" s="91"/>
      <c r="E13" s="91" t="s">
        <v>383</v>
      </c>
      <c r="F13" s="91">
        <v>2</v>
      </c>
      <c r="G13" s="91"/>
      <c r="H13" s="91"/>
    </row>
    <row r="14" spans="1:8" ht="15">
      <c r="A14" s="91" t="s">
        <v>379</v>
      </c>
      <c r="B14" s="91">
        <v>2</v>
      </c>
      <c r="C14" s="91"/>
      <c r="D14" s="91"/>
      <c r="E14" s="91" t="s">
        <v>384</v>
      </c>
      <c r="F14" s="91">
        <v>2</v>
      </c>
      <c r="G14" s="91"/>
      <c r="H14" s="91"/>
    </row>
    <row r="15" spans="1:8" ht="15">
      <c r="A15" s="91" t="s">
        <v>380</v>
      </c>
      <c r="B15" s="91">
        <v>0</v>
      </c>
      <c r="C15" s="91"/>
      <c r="D15" s="91"/>
      <c r="E15" s="91"/>
      <c r="F15" s="91"/>
      <c r="G15" s="91"/>
      <c r="H15" s="91"/>
    </row>
    <row r="16" spans="1:8" ht="15">
      <c r="A16" s="91" t="s">
        <v>381</v>
      </c>
      <c r="B16" s="91">
        <v>95</v>
      </c>
      <c r="C16" s="91"/>
      <c r="D16" s="91"/>
      <c r="E16" s="91"/>
      <c r="F16" s="91"/>
      <c r="G16" s="91"/>
      <c r="H16" s="91"/>
    </row>
    <row r="17" spans="1:8" ht="15">
      <c r="A17" s="91" t="s">
        <v>382</v>
      </c>
      <c r="B17" s="91">
        <v>98</v>
      </c>
      <c r="C17" s="91"/>
      <c r="D17" s="91"/>
      <c r="E17" s="91"/>
      <c r="F17" s="91"/>
      <c r="G17" s="91"/>
      <c r="H17" s="91"/>
    </row>
    <row r="18" spans="1:8" ht="15">
      <c r="A18" s="91" t="s">
        <v>383</v>
      </c>
      <c r="B18" s="91">
        <v>2</v>
      </c>
      <c r="C18" s="91"/>
      <c r="D18" s="91"/>
      <c r="E18" s="91"/>
      <c r="F18" s="91"/>
      <c r="G18" s="91"/>
      <c r="H18" s="91"/>
    </row>
    <row r="19" spans="1:8" ht="15">
      <c r="A19" s="91" t="s">
        <v>384</v>
      </c>
      <c r="B19" s="91">
        <v>2</v>
      </c>
      <c r="C19" s="91"/>
      <c r="D19" s="91"/>
      <c r="E19" s="91"/>
      <c r="F19" s="91"/>
      <c r="G19" s="91"/>
      <c r="H19" s="91"/>
    </row>
    <row r="20" spans="1:8" ht="15">
      <c r="A20" s="91" t="s">
        <v>385</v>
      </c>
      <c r="B20" s="91">
        <v>2</v>
      </c>
      <c r="C20" s="91"/>
      <c r="D20" s="91"/>
      <c r="E20" s="91"/>
      <c r="F20" s="91"/>
      <c r="G20" s="91"/>
      <c r="H20" s="91"/>
    </row>
    <row r="23" spans="1:8" ht="15" customHeight="1">
      <c r="A23" s="85" t="s">
        <v>391</v>
      </c>
      <c r="B23" s="85" t="s">
        <v>358</v>
      </c>
      <c r="C23" s="85" t="s">
        <v>392</v>
      </c>
      <c r="D23" s="85" t="s">
        <v>361</v>
      </c>
      <c r="E23" s="85" t="s">
        <v>393</v>
      </c>
      <c r="F23" s="85" t="s">
        <v>363</v>
      </c>
      <c r="G23" s="85" t="s">
        <v>394</v>
      </c>
      <c r="H23" s="85" t="s">
        <v>364</v>
      </c>
    </row>
    <row r="24" spans="1:8" ht="15">
      <c r="A24" s="85"/>
      <c r="B24" s="85"/>
      <c r="C24" s="85"/>
      <c r="D24" s="85"/>
      <c r="E24" s="85"/>
      <c r="F24" s="85"/>
      <c r="G24" s="85"/>
      <c r="H24" s="85"/>
    </row>
    <row r="26" spans="1:8" ht="15" customHeight="1">
      <c r="A26" s="13" t="s">
        <v>396</v>
      </c>
      <c r="B26" s="13" t="s">
        <v>358</v>
      </c>
      <c r="C26" s="13" t="s">
        <v>398</v>
      </c>
      <c r="D26" s="13" t="s">
        <v>361</v>
      </c>
      <c r="E26" s="13" t="s">
        <v>399</v>
      </c>
      <c r="F26" s="13" t="s">
        <v>363</v>
      </c>
      <c r="G26" s="85" t="s">
        <v>402</v>
      </c>
      <c r="H26" s="85" t="s">
        <v>364</v>
      </c>
    </row>
    <row r="27" spans="1:8" ht="15">
      <c r="A27" s="85" t="s">
        <v>217</v>
      </c>
      <c r="B27" s="85">
        <v>1</v>
      </c>
      <c r="C27" s="85" t="s">
        <v>217</v>
      </c>
      <c r="D27" s="85">
        <v>1</v>
      </c>
      <c r="E27" s="85" t="s">
        <v>216</v>
      </c>
      <c r="F27" s="85">
        <v>1</v>
      </c>
      <c r="G27" s="85"/>
      <c r="H27" s="85"/>
    </row>
    <row r="28" spans="1:8" ht="15">
      <c r="A28" s="85" t="s">
        <v>216</v>
      </c>
      <c r="B28" s="85">
        <v>1</v>
      </c>
      <c r="C28" s="85"/>
      <c r="D28" s="85"/>
      <c r="E28" s="85"/>
      <c r="F28" s="85"/>
      <c r="G28" s="85"/>
      <c r="H28" s="85"/>
    </row>
    <row r="31" spans="1:8" ht="15" customHeight="1">
      <c r="A31" s="13" t="s">
        <v>397</v>
      </c>
      <c r="B31" s="13" t="s">
        <v>358</v>
      </c>
      <c r="C31" s="85" t="s">
        <v>400</v>
      </c>
      <c r="D31" s="85" t="s">
        <v>361</v>
      </c>
      <c r="E31" s="85" t="s">
        <v>401</v>
      </c>
      <c r="F31" s="85" t="s">
        <v>363</v>
      </c>
      <c r="G31" s="13" t="s">
        <v>403</v>
      </c>
      <c r="H31" s="13" t="s">
        <v>364</v>
      </c>
    </row>
    <row r="32" spans="1:8" ht="15">
      <c r="A32" s="85" t="s">
        <v>215</v>
      </c>
      <c r="B32" s="85">
        <v>1</v>
      </c>
      <c r="C32" s="85"/>
      <c r="D32" s="85"/>
      <c r="E32" s="85"/>
      <c r="F32" s="85"/>
      <c r="G32" s="85" t="s">
        <v>215</v>
      </c>
      <c r="H32" s="85">
        <v>1</v>
      </c>
    </row>
    <row r="35" spans="1:8" ht="15" customHeight="1">
      <c r="A35" s="13" t="s">
        <v>406</v>
      </c>
      <c r="B35" s="13" t="s">
        <v>358</v>
      </c>
      <c r="C35" s="13" t="s">
        <v>407</v>
      </c>
      <c r="D35" s="13" t="s">
        <v>361</v>
      </c>
      <c r="E35" s="13" t="s">
        <v>408</v>
      </c>
      <c r="F35" s="13" t="s">
        <v>363</v>
      </c>
      <c r="G35" s="13" t="s">
        <v>409</v>
      </c>
      <c r="H35" s="13" t="s">
        <v>364</v>
      </c>
    </row>
    <row r="36" spans="1:8" ht="15">
      <c r="A36" s="124" t="s">
        <v>217</v>
      </c>
      <c r="B36" s="85">
        <v>78127</v>
      </c>
      <c r="C36" s="124" t="s">
        <v>217</v>
      </c>
      <c r="D36" s="85">
        <v>78127</v>
      </c>
      <c r="E36" s="124" t="s">
        <v>213</v>
      </c>
      <c r="F36" s="85">
        <v>26327</v>
      </c>
      <c r="G36" s="124" t="s">
        <v>215</v>
      </c>
      <c r="H36" s="85">
        <v>187</v>
      </c>
    </row>
    <row r="37" spans="1:8" ht="15">
      <c r="A37" s="124" t="s">
        <v>214</v>
      </c>
      <c r="B37" s="85">
        <v>51712</v>
      </c>
      <c r="C37" s="124" t="s">
        <v>214</v>
      </c>
      <c r="D37" s="85">
        <v>51712</v>
      </c>
      <c r="E37" s="124" t="s">
        <v>216</v>
      </c>
      <c r="F37" s="85">
        <v>4679</v>
      </c>
      <c r="G37" s="124" t="s">
        <v>212</v>
      </c>
      <c r="H37" s="85">
        <v>66</v>
      </c>
    </row>
    <row r="38" spans="1:8" ht="15">
      <c r="A38" s="124" t="s">
        <v>213</v>
      </c>
      <c r="B38" s="85">
        <v>26327</v>
      </c>
      <c r="C38" s="124"/>
      <c r="D38" s="85"/>
      <c r="E38" s="124"/>
      <c r="F38" s="85"/>
      <c r="G38" s="124"/>
      <c r="H38" s="85"/>
    </row>
    <row r="39" spans="1:8" ht="15">
      <c r="A39" s="124" t="s">
        <v>216</v>
      </c>
      <c r="B39" s="85">
        <v>4679</v>
      </c>
      <c r="C39" s="124"/>
      <c r="D39" s="85"/>
      <c r="E39" s="124"/>
      <c r="F39" s="85"/>
      <c r="G39" s="124"/>
      <c r="H39" s="85"/>
    </row>
    <row r="40" spans="1:8" ht="15">
      <c r="A40" s="124" t="s">
        <v>215</v>
      </c>
      <c r="B40" s="85">
        <v>187</v>
      </c>
      <c r="C40" s="124"/>
      <c r="D40" s="85"/>
      <c r="E40" s="124"/>
      <c r="F40" s="85"/>
      <c r="G40" s="124"/>
      <c r="H40" s="85"/>
    </row>
    <row r="41" spans="1:8" ht="15">
      <c r="A41" s="124" t="s">
        <v>212</v>
      </c>
      <c r="B41" s="85">
        <v>66</v>
      </c>
      <c r="C41" s="124"/>
      <c r="D41" s="85"/>
      <c r="E41" s="124"/>
      <c r="F41" s="85"/>
      <c r="G41" s="124"/>
      <c r="H41" s="85"/>
    </row>
  </sheetData>
  <printOptions/>
  <pageMargins left="0.7" right="0.7" top="0.75" bottom="0.75" header="0.3" footer="0.3"/>
  <pageSetup orientation="portrait" paperSize="9"/>
  <tableParts>
    <tablePart r:id="rId6"/>
    <tablePart r:id="rId4"/>
    <tablePart r:id="rId8"/>
    <tablePart r:id="rId1"/>
    <tablePart r:id="rId7"/>
    <tablePart r:id="rId5"/>
    <tablePart r:id="rId3"/>
    <tablePart r:id="rId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2019-06-11T09:32:48Z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