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8.xml" ContentType="application/vnd.openxmlformats-officedocument.spreadsheetml.table+xml"/>
  <Override PartName="/xl/tables/table13.xml" ContentType="application/vnd.openxmlformats-officedocument.spreadsheetml.table+xml"/>
  <Override PartName="/xl/tables/table19.xml" ContentType="application/vnd.openxmlformats-officedocument.spreadsheetml.table+xml"/>
  <Override PartName="/xl/tables/table16.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7.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8" activeTab="13"/>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ime Series Edges" sheetId="13" state="hidden" r:id="rId12"/>
    <sheet name="Top Items" sheetId="12" r:id="rId13"/>
    <sheet name="Time Series" sheetId="14" r:id="rId14"/>
  </sheets>
  <definedNames>
    <definedName name="BinDivisor">'Overall Metrics'!$X$2</definedName>
    <definedName name="DynamicFilterColumnName" localSheetId="11">#REF!</definedName>
    <definedName name="DynamicFilterColumnName">#REF!</definedName>
    <definedName name="DynamicFilterForceCalculationRange" localSheetId="11">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1">#REF!</definedName>
    <definedName name="DynamicFilterTableName">#REF!</definedName>
    <definedName name="LOCAL_MYSQL_DATE_FORMAT"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5"/>
  </pivotCaches>
  <extLst>
    <ext xmlns:x14="http://schemas.microsoft.com/office/spreadsheetml/2009/9/main" uri="{BBE1A952-AA13-448e-AADC-164F8A28A991}">
      <x14:slicerCaches>
        <x14:slicerCache r:id="rId19"/>
        <x14:slicerCache r:id="rId20"/>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2.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<sst xmlns="http://schemas.openxmlformats.org/spreadsheetml/2006/main" count="1848" uniqueCount="625">
  <si>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</si>
  <si>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</si>
  <si>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</si>
  <si>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</si>
  <si>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</si>
  <si>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</si>
  <si>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</si>
  <si>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</si>
  <si>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</si>
  <si>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</si>
  <si>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</si>
  <si>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</si>
  <si>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</si>
  <si>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</si>
  <si>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</si>
  <si>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</si>
  <si>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</si>
  <si>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</si>
  <si>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</si>
  <si>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</si>
  <si>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</si>
  <si>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</si>
  <si>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</si>
  <si>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</si>
  <si>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</si>
  <si>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</si>
  <si>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</si>
  <si>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</si>
  <si>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</si>
  <si>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</si>
  <si>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</si>
  <si>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</si>
  <si>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</si>
  <si>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</si>
  <si>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</si>
  <si>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</si>
  <si>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</si>
  <si>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</si>
  <si>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</si>
  <si>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</si>
  <si>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</si>
  <si>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</si>
  <si>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</si>
  <si>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</si>
  <si>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</si>
  <si>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</si>
  <si>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</si>
  <si>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</si>
  <si>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</si>
  <si>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</si>
  <si>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</si>
  <si>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</si>
  <si>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</si>
  <si>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</si>
  <si>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</si>
  <si>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</si>
  <si>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</si>
  <si>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</si>
  <si>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</si>
  <si>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</si>
  <si>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</si>
  <si>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</si>
  <si>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</si>
  <si>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</si>
  <si>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</si>
  <si>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</si>
  <si>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</si>
  <si>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</si>
  <si>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</si>
  <si>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</si>
  <si>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</si>
  <si>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</si>
  <si>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</si>
  <si>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</si>
  <si>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</si>
  <si>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</si>
  <si>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</si>
  <si>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</si>
  <si>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</si>
  <si>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</si>
  <si>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</si>
  <si>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</si>
  <si>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</si>
  <si>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</si>
  <si>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</si>
  <si>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</si>
  <si>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</si>
  <si>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</si>
  <si>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</si>
  <si>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</si>
  <si>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</si>
  <si>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</si>
  <si>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</si>
  <si>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</si>
  <si>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</si>
  <si>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</si>
  <si>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</si>
  <si>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</si>
  <si>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</si>
  <si>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</si>
  <si>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</si>
  <si>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</si>
  <si>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</si>
  <si>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</si>
  <si>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</si>
  <si>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</si>
  <si>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</si>
  <si>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</si>
  <si>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</si>
  <si>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</si>
  <si>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</si>
  <si>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</si>
  <si>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</si>
  <si>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</si>
  <si>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</si>
  <si>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</si>
  <si>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</si>
  <si>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</si>
  <si>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</si>
  <si>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</si>
  <si>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</si>
  <si>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</si>
  <si>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</si>
  <si>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</si>
  <si>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</si>
  <si>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</si>
  <si>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</si>
  <si>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</si>
  <si>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</si>
  <si>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</si>
  <si>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</si>
  <si>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</si>
  <si>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</si>
  <si>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</si>
  <si>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</si>
  <si>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</si>
  <si>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</si>
  <si>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</si>
  <si>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</si>
  <si>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</si>
  <si>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</si>
  <si>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</si>
  <si>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</si>
  <si>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</si>
  <si>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</si>
  <si>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</si>
  <si>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</si>
  <si>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</si>
  <si>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</si>
  <si>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</si>
  <si>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</si>
  <si>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</si>
  <si>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</si>
  <si>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</si>
  <si>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</si>
  <si>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</si>
  <si>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</si>
  <si>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</si>
  <si>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</si>
  <si>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</si>
  <si>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</si>
  <si>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</si>
  <si>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</si>
  <si>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</si>
  <si>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</si>
  <si>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</si>
  <si>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</si>
  <si>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</si>
  <si>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</si>
  <si>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</si>
  <si>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</si>
  <si>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</si>
  <si>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</si>
  <si>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</si>
  <si>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</si>
  <si>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</si>
  <si>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</si>
  <si>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</si>
  <si>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</si>
  <si>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</si>
  <si>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</si>
  <si>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</si>
  <si>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</si>
  <si>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</si>
  <si>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</si>
  <si>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</si>
  <si>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</si>
  <si>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</si>
  <si>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</si>
  <si>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</si>
  <si>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</si>
  <si>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</si>
  <si>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</si>
  <si>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</si>
  <si>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</si>
  <si>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</si>
  <si>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</si>
  <si>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</si>
  <si>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</si>
  <si>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</si>
  <si>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</si>
  <si>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</si>
  <si>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</si>
  <si>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</si>
  <si>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</si>
  <si>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</si>
  <si>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</si>
  <si>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</si>
  <si>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</si>
  <si>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</si>
  <si>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</si>
  <si>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</si>
  <si>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dailypoliticaln</t>
  </si>
  <si>
    <t>anadiobioma</t>
  </si>
  <si>
    <t>weekherald</t>
  </si>
  <si>
    <t>confcalltran</t>
  </si>
  <si>
    <t>chaffeybreeze</t>
  </si>
  <si>
    <t>themarketsdaily</t>
  </si>
  <si>
    <t>macondailynews</t>
  </si>
  <si>
    <t>transcriptdaily</t>
  </si>
  <si>
    <t>dakotafinancial</t>
  </si>
  <si>
    <t>stocknewstimes</t>
  </si>
  <si>
    <t>enterpriseleade</t>
  </si>
  <si>
    <t>registrarjourn</t>
  </si>
  <si>
    <t>dispatchtribune</t>
  </si>
  <si>
    <t>bbnsnews</t>
  </si>
  <si>
    <t>Head to Head Analysis: ARC Group $ARCK and XCel Brands $XELB https://t.co/2QHPCn8Zwu</t>
  </si>
  <si>
    <t>Head to Head Analysis: ARC Group (ARCK) and XCel Brands (XELB) https://t.co/gYi4gIL7ah</t>
  </si>
  <si>
    <t>Head to Head Analysis: ARC Group (ARCK) and XCel Brands (XELB) https://t.co/MCvNf40k4g</t>
  </si>
  <si>
    <t>Brokerages Anticipate XCel Brands Inc $XELB to Announce $0.05 EPS https://t.co/vrfkb9xzGa</t>
  </si>
  <si>
    <t>XCel Brands, Inc.'s Chief Financial Officer just disposed of 54,000 shares  https://t.co/IfllXusTsG $XELB</t>
  </si>
  <si>
    <t>Zacks: Brokerages Set $5.00 Price Target for XCel Brands Inc $XELB https://t.co/uOzUfvGZom #stocks</t>
  </si>
  <si>
    <t>XCel Brands $XELB Downgraded to Hold at Zacks Investment Research https://t.co/adWvnDmOtj</t>
  </si>
  <si>
    <t>XCel Brands $XELB Downgraded to Hold at Zacks Investment Research https://t.co/A8NCBZO7Rd</t>
  </si>
  <si>
    <t>XCel Brands Inc $XELB Given Consensus Rating of “Strong Buy” by Brokerages https://t.co/7eA6dS464W</t>
  </si>
  <si>
    <t>XCel Brands $XELB Downgraded to “Hold” at Zacks Investment Research https://t.co/2b5YYloN72</t>
  </si>
  <si>
    <t>Zacks Investment Research Downgrades XCel Brands $XELB to Hold https://t.co/7fCEvPohIY</t>
  </si>
  <si>
    <t>Zacks: XCel Brands Inc (XELB) Given Average Recommendation of “Strong Buy” by Brokerages  https://t.co/UUQjPHlGr0</t>
  </si>
  <si>
    <t>XCel Brands (XELB) Downgraded to “Hold” at Zacks Investment Research  https://t.co/MltGfrBewR</t>
  </si>
  <si>
    <t>Zacks Investment Research Lowers XCel Brands $XELB to Hold  https://t.co/VWP8FNgOpd</t>
  </si>
  <si>
    <t>Zacks Investment Research Lowers XCel Brands $XELB to Hold https://t.co/SvL3g90ltz</t>
  </si>
  <si>
    <t>Reviewing XCel Brands $XELB &amp;amp; MGT Capital Investments $MGTI https://t.co/iMTGDjGX27</t>
  </si>
  <si>
    <t>Zacks Investment Research Lowers XCel Brands $XELB to Hold https://t.co/4IeFmM4rMm</t>
  </si>
  <si>
    <t>XCel Brands $XELB Rating Increased to Buy at Zacks Investment Research  https://t.co/Z2ZDAeMxsJ</t>
  </si>
  <si>
    <t>https://www.dailypolitical.com/?p=2635792</t>
  </si>
  <si>
    <t>https://drumup.io/s/Bd4zLm</t>
  </si>
  <si>
    <t>https://www.dailypolitical.com/2019/01/10/head-to-head-analysis-arc-group-arck-and-xcel-brands-xelb.html</t>
  </si>
  <si>
    <t>https://weekherald.com/?p=3434492</t>
  </si>
  <si>
    <t>http://www.conferencecalltranscripts.org/4/summary2/?id=5663369</t>
  </si>
  <si>
    <t>https://chaffeybreeze.com/?p=2260871</t>
  </si>
  <si>
    <t>http://www.themarketsdaily.com/?p=2179648</t>
  </si>
  <si>
    <t>https://macondaily.com/?p=1474996</t>
  </si>
  <si>
    <t>http://www.transcriptdaily.com/?p=2056136</t>
  </si>
  <si>
    <t>http://www.transcriptdaily.com/?p=2076428</t>
  </si>
  <si>
    <t>https://dakotafinancialnews.com/?p=777866</t>
  </si>
  <si>
    <t>https://www.thestockobserver.com/2019/01/13/zacks-xcel-brands-inc-xelb-given-average-recommendation-of-strong-buy-by-brokerages.html</t>
  </si>
  <si>
    <t>https://www.thestockobserver.com/2019/01/21/xcel-brands-xelb-downgraded-to-hold-at-zacks-investment-research.html</t>
  </si>
  <si>
    <t>https://theenterpriseleader.com/?p=1823032</t>
  </si>
  <si>
    <t>http://theenterpriseleader.com/?p=1823032</t>
  </si>
  <si>
    <t>https://dispatchtribunal.com/?p=2490299</t>
  </si>
  <si>
    <t>https://dispatchtribunal.com/?p=2515014</t>
  </si>
  <si>
    <t>https://baseballnewssource.com/?p=3158071</t>
  </si>
  <si>
    <t>dailypolitical.com</t>
  </si>
  <si>
    <t>drumup.io</t>
  </si>
  <si>
    <t>weekherald.com</t>
  </si>
  <si>
    <t>conferencecalltranscripts.org</t>
  </si>
  <si>
    <t>chaffeybreeze.com</t>
  </si>
  <si>
    <t>themarketsdaily.com</t>
  </si>
  <si>
    <t>macondaily.com</t>
  </si>
  <si>
    <t>transcriptdaily.com</t>
  </si>
  <si>
    <t>dakotafinancialnews.com</t>
  </si>
  <si>
    <t>thestockobserver.com</t>
  </si>
  <si>
    <t>theenterpriseleader.com</t>
  </si>
  <si>
    <t>dispatchtribunal.com</t>
  </si>
  <si>
    <t>baseballnewssource.com</t>
  </si>
  <si>
    <t>stocks</t>
  </si>
  <si>
    <t>http://pbs.twimg.com/profile_images/433324818658623488/hxhCoePy_normal.jpeg</t>
  </si>
  <si>
    <t>http://pbs.twimg.com/profile_images/1060158056170954752/XDmPUkro_normal.jpg</t>
  </si>
  <si>
    <t>http://pbs.twimg.com/profile_images/888131487710588928/TxnNBLKZ_normal.jpg</t>
  </si>
  <si>
    <t>http://pbs.twimg.com/profile_images/487406679001026560/pubQUS9Z_normal.jpeg</t>
  </si>
  <si>
    <t>http://pbs.twimg.com/profile_images/828754065706274816/bcfoORRd_normal.jpg</t>
  </si>
  <si>
    <t>http://pbs.twimg.com/profile_images/849428984488185857/i3dIvJVS_normal.jpg</t>
  </si>
  <si>
    <t>http://pbs.twimg.com/profile_images/966766832458674176/9rnz8MMA_normal.jpg</t>
  </si>
  <si>
    <t>http://pbs.twimg.com/profile_images/852935198387732480/RZ-jnMw__normal.jpg</t>
  </si>
  <si>
    <t>http://abs.twimg.com/sticky/default_profile_images/default_profile_normal.png</t>
  </si>
  <si>
    <t>http://pbs.twimg.com/profile_images/887064077482065920/iIK7OfFQ_normal.jpg</t>
  </si>
  <si>
    <t>http://pbs.twimg.com/profile_images/966007162500562945/JE8dLxj__normal.jpg</t>
  </si>
  <si>
    <t>http://pbs.twimg.com/profile_images/949405284031610880/kvSoG2ED_normal.jpg</t>
  </si>
  <si>
    <t>http://pbs.twimg.com/profile_images/901201131174363137/f5XejW6W_normal.jpg</t>
  </si>
  <si>
    <t>http://pbs.twimg.com/profile_images/950447991495606272/ru9vq2m9_normal.jpg</t>
  </si>
  <si>
    <t>https://twitter.com/#!/dailypoliticaln/status/1083368059669237760</t>
  </si>
  <si>
    <t>https://twitter.com/#!/anadiobioma/status/1083382967546695680</t>
  </si>
  <si>
    <t>https://twitter.com/#!/anadiobioma/status/1083386988013641728</t>
  </si>
  <si>
    <t>https://twitter.com/#!/weekherald/status/1084538722278952960</t>
  </si>
  <si>
    <t>https://twitter.com/#!/confcalltran/status/1084927527058108416</t>
  </si>
  <si>
    <t>https://twitter.com/#!/chaffeybreeze/status/1085381346653016064</t>
  </si>
  <si>
    <t>https://twitter.com/#!/themarketsdaily/status/1086821925140291585</t>
  </si>
  <si>
    <t>https://twitter.com/#!/macondailynews/status/1086824220603174915</t>
  </si>
  <si>
    <t>https://twitter.com/#!/transcriptdaily/status/1083726598866722816</t>
  </si>
  <si>
    <t>https://twitter.com/#!/transcriptdaily/status/1087053898165207042</t>
  </si>
  <si>
    <t>https://twitter.com/#!/dakotafinancial/status/1087258603759775744</t>
  </si>
  <si>
    <t>https://twitter.com/#!/stocknewstimes/status/1084539365236396032</t>
  </si>
  <si>
    <t>https://twitter.com/#!/stocknewstimes/status/1087258783573782529</t>
  </si>
  <si>
    <t>https://twitter.com/#!/enterpriseleade/status/1087614926905065473</t>
  </si>
  <si>
    <t>https://twitter.com/#!/registrarjourn/status/1087614931032334337</t>
  </si>
  <si>
    <t>https://twitter.com/#!/dispatchtribune/status/1083336028788805632</t>
  </si>
  <si>
    <t>https://twitter.com/#!/dispatchtribune/status/1087615021398532096</t>
  </si>
  <si>
    <t>https://twitter.com/#!/bbnsnews/status/1087820043642175488</t>
  </si>
  <si>
    <t>1083368059669237760</t>
  </si>
  <si>
    <t>1083382967546695680</t>
  </si>
  <si>
    <t>1083386988013641728</t>
  </si>
  <si>
    <t>1084538722278952960</t>
  </si>
  <si>
    <t>1084927527058108416</t>
  </si>
  <si>
    <t>1085381346653016064</t>
  </si>
  <si>
    <t>1086821925140291585</t>
  </si>
  <si>
    <t>1086824220603174915</t>
  </si>
  <si>
    <t>1083726598866722816</t>
  </si>
  <si>
    <t>1087053898165207042</t>
  </si>
  <si>
    <t>1087258603759775744</t>
  </si>
  <si>
    <t>1084539365236396032</t>
  </si>
  <si>
    <t>1087258783573782529</t>
  </si>
  <si>
    <t>1087614926905065473</t>
  </si>
  <si>
    <t>1087614931032334337</t>
  </si>
  <si>
    <t>1083336028788805632</t>
  </si>
  <si>
    <t>1087615021398532096</t>
  </si>
  <si>
    <t>1087820043642175488</t>
  </si>
  <si>
    <t/>
  </si>
  <si>
    <t>en</t>
  </si>
  <si>
    <t>tl</t>
  </si>
  <si>
    <t>Zapier.com</t>
  </si>
  <si>
    <t>ConfCallTran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</si>
  <si>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</si>
  <si>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</si>
  <si>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</si>
  <si>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</si>
  <si>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</si>
  <si>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</si>
  <si>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</si>
  <si>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</si>
  <si>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</si>
  <si>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</si>
  <si>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</si>
  <si>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</si>
  <si>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</si>
  <si>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</si>
  <si>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</si>
  <si>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</si>
  <si>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</si>
  <si>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</si>
  <si>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</si>
  <si>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</si>
  <si>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</si>
  <si>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Daily Political</t>
  </si>
  <si>
    <t>Blake</t>
  </si>
  <si>
    <t>Week Herald</t>
  </si>
  <si>
    <t>Conf Call Tran</t>
  </si>
  <si>
    <t>Chaffey Breeze News</t>
  </si>
  <si>
    <t>The Markets Daily</t>
  </si>
  <si>
    <t>Macon Daily</t>
  </si>
  <si>
    <t>Transcript Daily</t>
  </si>
  <si>
    <t>Dakota Financial</t>
  </si>
  <si>
    <t>Stock News Times</t>
  </si>
  <si>
    <t>Enterprise Leader</t>
  </si>
  <si>
    <t>Registrar Journal</t>
  </si>
  <si>
    <t>Dispatch Tribunal</t>
  </si>
  <si>
    <t>Baseball News Source</t>
  </si>
  <si>
    <t>Daily Political is an independent news agency that specializes in bringing a fresh perspective to news and politics from around the world</t>
  </si>
  <si>
    <t>Studied economics at enugu state university of science and tech (enugu nigeria)</t>
  </si>
  <si>
    <t>The Week Herald  offers independent perspective on  daily news on a wide range of topics. The information we provide is non-biased by nature.</t>
  </si>
  <si>
    <t>Public company news, filings, transcripts</t>
  </si>
  <si>
    <t>Providing stock updates and other timely headlines</t>
  </si>
  <si>
    <t>Macon Daily offers daily news on almost every topic. The information we provide is non biased in nature.</t>
  </si>
  <si>
    <t>The Enterprise Leader is committed to providing unbiased news about business, technology, and the economy.</t>
  </si>
  <si>
    <t>Dispatch Tribunal is a Florida based news agency covering major news stories in business, health, science, and technology.</t>
  </si>
  <si>
    <t>Baseball News Source  strives to bring a fresh perspective to breaking baseball news and finance news across the globe.</t>
  </si>
  <si>
    <t>anambra nigeria</t>
  </si>
  <si>
    <t>United States</t>
  </si>
  <si>
    <t>Florida, USA</t>
  </si>
  <si>
    <t>https://weekherald.com/</t>
  </si>
  <si>
    <t>https://t.co/0eNDSZanco</t>
  </si>
  <si>
    <t>https://t.co/HykOPvGm9F</t>
  </si>
  <si>
    <t>https://t.co/cwcnF1c1TK</t>
  </si>
  <si>
    <t>https://t.co/58WdUxUP2J</t>
  </si>
  <si>
    <t>https://t.co/er69YCEGww</t>
  </si>
  <si>
    <t>https://t.co/G8Jdcwonba</t>
  </si>
  <si>
    <t>https://pbs.twimg.com/profile_banners/985935722/1526206777</t>
  </si>
  <si>
    <t>https://pbs.twimg.com/profile_banners/888125801903775744/1500582045</t>
  </si>
  <si>
    <t>https://pbs.twimg.com/profile_banners/828747327208841216/1486485612</t>
  </si>
  <si>
    <t>https://pbs.twimg.com/profile_banners/849417718642159616/1491354964</t>
  </si>
  <si>
    <t>https://pbs.twimg.com/profile_banners/966765919191142401/1519330134</t>
  </si>
  <si>
    <t>https://pbs.twimg.com/profile_banners/852931863547084801/1492190555</t>
  </si>
  <si>
    <t>https://pbs.twimg.com/profile_banners/887052326472740866/1500327595</t>
  </si>
  <si>
    <t>https://pbs.twimg.com/profile_banners/966006214818697218/1519149054</t>
  </si>
  <si>
    <t>https://pbs.twimg.com/profile_banners/949377493915590662/1515190881</t>
  </si>
  <si>
    <t>https://pbs.twimg.com/profile_banners/901194327925325825/1503698104</t>
  </si>
  <si>
    <t>https://pbs.twimg.com/profile_banners/950445812282265610/1515440070</t>
  </si>
  <si>
    <t>http://abs.twimg.com/images/themes/theme1/bg.png</t>
  </si>
  <si>
    <t>Open Twitter Page for This Person</t>
  </si>
  <si>
    <t>https://twitter.com/dailypoliticaln</t>
  </si>
  <si>
    <t>https://twitter.com/anadiobioma</t>
  </si>
  <si>
    <t>https://twitter.com/weekherald</t>
  </si>
  <si>
    <t>https://twitter.com/confcalltran</t>
  </si>
  <si>
    <t>https://twitter.com/chaffeybreeze</t>
  </si>
  <si>
    <t>https://twitter.com/themarketsdaily</t>
  </si>
  <si>
    <t>https://twitter.com/macondailynews</t>
  </si>
  <si>
    <t>https://twitter.com/transcriptdaily</t>
  </si>
  <si>
    <t>https://twitter.com/dakotafinancial</t>
  </si>
  <si>
    <t>https://twitter.com/stocknewstimes</t>
  </si>
  <si>
    <t>https://twitter.com/enterpriseleade</t>
  </si>
  <si>
    <t>https://twitter.com/registrarjourn</t>
  </si>
  <si>
    <t>https://twitter.com/dispatchtribune</t>
  </si>
  <si>
    <t>https://twitter.com/bbnsnews</t>
  </si>
  <si>
    <t>dailypoliticaln
Head to Head Analysis: ARC Group
$ARCK and XCel Brands $XELB https://t.co/2QHPCn8Zwu</t>
  </si>
  <si>
    <t>anadiobioma
Head to Head Analysis: ARC Group
(ARCK) and XCel Brands (XELB) https://t.co/MCvNf40k4g</t>
  </si>
  <si>
    <t>weekherald
Brokerages Anticipate XCel Brands
Inc $XELB to Announce $0.05 EPS
https://t.co/vrfkb9xzGa</t>
  </si>
  <si>
    <t>confcalltran
XCel Brands, Inc.'s Chief Financial
Officer just disposed of 54,000
shares https://t.co/IfllXusTsG
$XELB</t>
  </si>
  <si>
    <t>chaffeybreeze
Zacks: Brokerages Set $5.00 Price
Target for XCel Brands Inc $XELB
https://t.co/uOzUfvGZom #stocks</t>
  </si>
  <si>
    <t>themarketsdaily
XCel Brands $XELB Downgraded to
Hold at Zacks Investment Research
https://t.co/adWvnDmOtj</t>
  </si>
  <si>
    <t>macondailynews
XCel Brands $XELB Downgraded to
Hold at Zacks Investment Research
https://t.co/A8NCBZO7Rd</t>
  </si>
  <si>
    <t>transcriptdaily
XCel Brands $XELB Downgraded to
“Hold” at Zacks Investment Research
https://t.co/2b5YYloN72</t>
  </si>
  <si>
    <t>dakotafinancial
Zacks Investment Research Downgrades
XCel Brands $XELB to Hold https://t.co/7fCEvPohIY</t>
  </si>
  <si>
    <t>stocknewstimes
XCel Brands (XELB) Downgraded to
“Hold” at Zacks Investment Research
https://t.co/MltGfrBewR</t>
  </si>
  <si>
    <t>enterpriseleade
Zacks Investment Research Lowers
XCel Brands $XELB to Hold https://t.co/VWP8FNgOpd</t>
  </si>
  <si>
    <t>registrarjourn
Zacks Investment Research Lowers
XCel Brands $XELB to Hold https://t.co/SvL3g90ltz</t>
  </si>
  <si>
    <t>dispatchtribune
Zacks Investment Research Lowers
XCel Brands $XELB to Hold https://t.co/4IeFmM4rMm</t>
  </si>
  <si>
    <t>bbnsnews
XCel Brands $XELB Rating Increased
to Buy at Zacks Investment Research
https://t.co/Z2ZDAeMxsJ</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</si>
  <si>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</si>
  <si>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</si>
  <si>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</si>
  <si>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</si>
  <si>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</si>
  <si>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</si>
  <si>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</si>
  <si>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&lt;value&gt;aguffanti@ensembleiq.com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t>
  </si>
  <si>
    <t>Workbook Settings 5</t>
  </si>
  <si>
    <t>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
  </si>
  <si>
    <t>Workbook Settings 6</t>
  </si>
  <si>
    <t>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t>
  </si>
  <si>
    <t>Workbook Settings 7</t>
  </si>
  <si>
    <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
  </si>
  <si>
    <t>Workbook Settings 8</t>
  </si>
  <si>
    <t>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t>
  </si>
  <si>
    <t>Workbook Settings 9</t>
  </si>
  <si>
    <t>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t>
  </si>
  <si>
    <t>Workbook Settings 10</t>
  </si>
  <si>
    <t>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t>
  </si>
  <si>
    <t>Workbook Settings 11</t>
  </si>
  <si>
    <t>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t>
  </si>
  <si>
    <t>Workbook Settings 12</t>
  </si>
  <si>
    <t>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t>
  </si>
  <si>
    <t>Workbook Settings 13</t>
  </si>
  <si>
    <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t>
  </si>
  <si>
    <t>Workbook Settings 14</t>
  </si>
  <si>
    <t>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t>
  </si>
  <si>
    <t>Workbook Settings 15</t>
  </si>
  <si>
    <t>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t>
  </si>
  <si>
    <t>Workbook Settings 16</t>
  </si>
  <si>
    <t xml:space="preserve"> zaps zealot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t>
  </si>
  <si>
    <t>Workbook Settings 17</t>
  </si>
  <si>
    <t>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t>
  </si>
  <si>
    <t>Workbook Settings 18</t>
  </si>
  <si>
    <t>http://nodexl.codeplex.com)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</si>
  <si>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</si>
  <si>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</si>
  <si>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</si>
  <si>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</si>
  <si>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0, 12, 96</t>
  </si>
  <si>
    <t>Vertex Group</t>
  </si>
  <si>
    <t>Vertex 1 Group</t>
  </si>
  <si>
    <t>Vertex 2 Group</t>
  </si>
  <si>
    <t>Group 1</t>
  </si>
  <si>
    <t>Group 2</t>
  </si>
  <si>
    <t>Edges</t>
  </si>
  <si>
    <t>Graph Type</t>
  </si>
  <si>
    <t>Number of Edge Types</t>
  </si>
  <si>
    <t>Modularity</t>
  </si>
  <si>
    <t>NodeXL Version</t>
  </si>
  <si>
    <t>Not Applicable</t>
  </si>
  <si>
    <t>1.0.1.408</t>
  </si>
  <si>
    <t>Top URLs in Tweet in Entire Graph</t>
  </si>
  <si>
    <t>Entire Graph Count</t>
  </si>
  <si>
    <t>Top URLs in Tweet in G1</t>
  </si>
  <si>
    <t>G1 Count</t>
  </si>
  <si>
    <t>Top URLs in Tweet</t>
  </si>
  <si>
    <t>https://www.dailypolitical.com/?p=2635792 https://www.dailypolitical.com/2019/01/10/head-to-head-analysis-arc-group-arck-and-xcel-brands-xelb.html https://drumup.io/s/Bd4zLm https://weekherald.com/?p=3434492 http://www.conferencecalltranscripts.org/4/summary2/?id=5663369 https://chaffeybreeze.com/?p=2260871 http://www.themarketsdaily.com/?p=2179648 https://macondaily.com/?p=1474996 http://www.transcriptdaily.com/?p=2076428 http://www.transcriptdaily.com/?p=2056136</t>
  </si>
  <si>
    <t>Top Domains in Tweet in Entire Graph</t>
  </si>
  <si>
    <t>Top Domains in Tweet in G1</t>
  </si>
  <si>
    <t>Top Domains in Tweet</t>
  </si>
  <si>
    <t>dailypolitical.com transcriptdaily.com thestockobserver.com theenterpriseleader.com dispatchtribunal.com drumup.io weekherald.com conferencecalltranscripts.org chaffeybreeze.com themarketsdaily.com</t>
  </si>
  <si>
    <t>Top Hashtags in Tweet in Entire Graph</t>
  </si>
  <si>
    <t>Top Hashtags in Tweet in G1</t>
  </si>
  <si>
    <t>Top Hashtags in Tweet</t>
  </si>
  <si>
    <t>Top Words in Tweet in Entire Graph</t>
  </si>
  <si>
    <t>Words in Sentiment List#1: Positive</t>
  </si>
  <si>
    <t>Words in Sentiment List#2: Negative</t>
  </si>
  <si>
    <t>Words in Sentiment List#3: Angry/Violent</t>
  </si>
  <si>
    <t>Non-categorized Words</t>
  </si>
  <si>
    <t>Total Words</t>
  </si>
  <si>
    <t>xcel</t>
  </si>
  <si>
    <t>brands</t>
  </si>
  <si>
    <t>xelb</t>
  </si>
  <si>
    <t>zacks</t>
  </si>
  <si>
    <t>investment</t>
  </si>
  <si>
    <t>Top Words in Tweet in G1</t>
  </si>
  <si>
    <t>research</t>
  </si>
  <si>
    <t>hold</t>
  </si>
  <si>
    <t>head</t>
  </si>
  <si>
    <t>inc</t>
  </si>
  <si>
    <t>brokerages</t>
  </si>
  <si>
    <t>Top Words in Tweet</t>
  </si>
  <si>
    <t>xcel brands xelb zacks investment research hold head inc brokerages</t>
  </si>
  <si>
    <t>Top Word Pairs in Tweet in Entire Graph</t>
  </si>
  <si>
    <t>xcel,brands</t>
  </si>
  <si>
    <t>brands,xelb</t>
  </si>
  <si>
    <t>zacks,investment</t>
  </si>
  <si>
    <t>investment,research</t>
  </si>
  <si>
    <t>brands,inc</t>
  </si>
  <si>
    <t>xelb,hold</t>
  </si>
  <si>
    <t>xelb,downgraded</t>
  </si>
  <si>
    <t>downgraded,hold</t>
  </si>
  <si>
    <t>hold,zacks</t>
  </si>
  <si>
    <t>inc,xelb</t>
  </si>
  <si>
    <t>Top Word Pairs in Tweet in G1</t>
  </si>
  <si>
    <t>Top Word Pairs in Tweet</t>
  </si>
  <si>
    <t>xcel,brands  brands,xelb  zacks,investment  investment,research  brands,inc  inc,xelb  xelb,downgraded  downgraded,hold  hold,zacks  xelb,hold</t>
  </si>
  <si>
    <t>Top Replied-To in Entire Graph</t>
  </si>
  <si>
    <t>Top Mentioned in Entire Graph</t>
  </si>
  <si>
    <t>Top Replied-To in G1</t>
  </si>
  <si>
    <t>Top Mentioned in G1</t>
  </si>
  <si>
    <t>Top Replied-To in Tweet</t>
  </si>
  <si>
    <t>Top Mentioned in Tweet</t>
  </si>
  <si>
    <t>Top Tweeters in Entire Graph</t>
  </si>
  <si>
    <t>Top Tweeters in G1</t>
  </si>
  <si>
    <t>Top Tweeters</t>
  </si>
  <si>
    <t>dailypoliticaln dakotafinancial confcalltran stocknewstimes chaffeybreeze themarketsdaily weekherald dispatchtribune enterpriseleade registrarjourn</t>
  </si>
  <si>
    <t>Top URLs in Tweet by Count</t>
  </si>
  <si>
    <t>https://www.dailypolitical.com/2019/01/10/head-to-head-analysis-arc-group-arck-and-xcel-brands-xelb.html https://drumup.io/s/Bd4zLm</t>
  </si>
  <si>
    <t>http://www.transcriptdaily.com/?p=2076428 http://www.transcriptdaily.com/?p=2056136</t>
  </si>
  <si>
    <t>https://www.thestockobserver.com/2019/01/21/xcel-brands-xelb-downgraded-to-hold-at-zacks-investment-research.html https://www.thestockobserver.com/2019/01/13/zacks-xcel-brands-inc-xelb-given-average-recommendation-of-strong-buy-by-brokerages.html</t>
  </si>
  <si>
    <t>https://dispatchtribunal.com/?p=2515014 https://dispatchtribunal.com/?p=2490299</t>
  </si>
  <si>
    <t>Top URLs in Tweet by Salience</t>
  </si>
  <si>
    <t>Top Domains in Tweet by Count</t>
  </si>
  <si>
    <t>dailypolitical.com drumup.io</t>
  </si>
  <si>
    <t>Top Domains in Tweet by Salience</t>
  </si>
  <si>
    <t>Top Hashtags in Tweet by Count</t>
  </si>
  <si>
    <t>Top Hashtags in Tweet by Salience</t>
  </si>
  <si>
    <t>Top Words in Tweet by Count</t>
  </si>
  <si>
    <t>head analysis arc group arck xcel brands xelb</t>
  </si>
  <si>
    <t>brokerages anticipate xcel brands inc xelb announce 0 05 eps</t>
  </si>
  <si>
    <t>xcel brands inc 's chief financial officer disposed 54 000</t>
  </si>
  <si>
    <t>zacks brokerages set 5 00 price target xcel brands inc</t>
  </si>
  <si>
    <t>xcel brands xelb downgraded hold zacks investment research</t>
  </si>
  <si>
    <t>xcel brands xelb downgraded hold zacks investment research inc given</t>
  </si>
  <si>
    <t>zacks investment research downgrades xcel brands xelb hold</t>
  </si>
  <si>
    <t>xcel brands xelb zacks downgraded hold investment research inc given</t>
  </si>
  <si>
    <t>zacks investment research lowers xcel brands xelb hold</t>
  </si>
  <si>
    <t>xcel brands xelb zacks investment research lowers hold reviewing mgt</t>
  </si>
  <si>
    <t>xcel brands xelb rating increased buy zacks investment research</t>
  </si>
  <si>
    <t>Top Words in Tweet by Salience</t>
  </si>
  <si>
    <t>downgraded hold zacks investment research inc given consensus rating strong</t>
  </si>
  <si>
    <t>downgraded hold investment research inc given average recommendation strong buy</t>
  </si>
  <si>
    <t>zacks investment research lowers hold reviewing mgt capital investments mgti</t>
  </si>
  <si>
    <t>Top Word Pairs in Tweet by Count</t>
  </si>
  <si>
    <t>head,head  head,analysis  analysis,arc  arc,group  group,arck  arck,xcel  xcel,brands  brands,xelb</t>
  </si>
  <si>
    <t>brokerages,anticipate  anticipate,xcel  xcel,brands  brands,inc  inc,xelb  xelb,announce  announce,0  0,05  05,eps</t>
  </si>
  <si>
    <t>xcel,brands  brands,inc  inc,'s  's,chief  chief,financial  financial,officer  officer,disposed  disposed,54  54,000  000,shares</t>
  </si>
  <si>
    <t>zacks,brokerages  brokerages,set  set,5  5,00  00,price  price,target  target,xcel  xcel,brands  brands,inc  inc,xelb</t>
  </si>
  <si>
    <t>xcel,brands  brands,xelb  xelb,downgraded  downgraded,hold  hold,zacks  zacks,investment  investment,research</t>
  </si>
  <si>
    <t>xcel,brands  brands,xelb  xelb,downgraded  downgraded,hold  hold,zacks  zacks,investment  investment,research  brands,inc  inc,xelb  xelb,given</t>
  </si>
  <si>
    <t>zacks,investment  investment,research  research,downgrades  downgrades,xcel  xcel,brands  brands,xelb  xelb,hold</t>
  </si>
  <si>
    <t>xcel,brands  brands,xelb  xelb,downgraded  downgraded,hold  hold,zacks  zacks,investment  investment,research  zacks,xcel  brands,inc  inc,xelb</t>
  </si>
  <si>
    <t>zacks,investment  investment,research  research,lowers  lowers,xcel  xcel,brands  brands,xelb  xelb,hold</t>
  </si>
  <si>
    <t>xcel,brands  brands,xelb  zacks,investment  investment,research  research,lowers  lowers,xcel  xelb,hold  reviewing,xcel  xelb,mgt  mgt,capital</t>
  </si>
  <si>
    <t>xcel,brands  brands,xelb  xelb,rating  rating,increased  increased,buy  buy,zacks  zacks,investment  investment,research</t>
  </si>
  <si>
    <t>Top Word Pairs in Tweet by Salience</t>
  </si>
  <si>
    <t>brands,xelb  xelb,downgraded  downgraded,hold  hold,zacks  zacks,investment  investment,research  brands,inc  inc,xelb  xelb,given  given,consensus</t>
  </si>
  <si>
    <t>brands,xelb  xelb,downgraded  downgraded,hold  hold,zacks  zacks,investment  investment,research  zacks,xcel  brands,inc  inc,xelb  xelb,given</t>
  </si>
  <si>
    <t>zacks,investment  investment,research  research,lowers  lowers,xcel  xelb,hold  reviewing,xcel  xelb,mgt  mgt,capital  capital,investments  investments,mgti</t>
  </si>
  <si>
    <t>Word</t>
  </si>
  <si>
    <t>downgraded</t>
  </si>
  <si>
    <t>buy</t>
  </si>
  <si>
    <t>lowers</t>
  </si>
  <si>
    <t>analysis</t>
  </si>
  <si>
    <t>arc</t>
  </si>
  <si>
    <t>group</t>
  </si>
  <si>
    <t>arck</t>
  </si>
  <si>
    <t>rating</t>
  </si>
  <si>
    <t>given</t>
  </si>
  <si>
    <t>strong</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</si>
  <si>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</si>
  <si>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</si>
  <si>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</si>
  <si>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</si>
  <si>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</si>
  <si>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</si>
  <si>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</si>
  <si>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</si>
  <si>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</si>
  <si>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</si>
  <si>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</si>
  <si>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</si>
  <si>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</si>
  <si>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</si>
  <si>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</si>
  <si>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</si>
  <si>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</si>
  <si>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</si>
  <si>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</si>
  <si>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</si>
  <si>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</si>
  <si>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</si>
  <si>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</si>
  <si>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</si>
  <si>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</si>
  <si>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</si>
  <si>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Top 10 Vertices, Ranked by Betweenness Centrality</t>
  </si>
  <si>
    <t>Count of Tweet Date (UTC)</t>
  </si>
  <si>
    <t>Row Labels</t>
  </si>
  <si>
    <t>Grand Total</t>
  </si>
  <si>
    <t>128, 128, 128</t>
  </si>
  <si>
    <t>Red</t>
  </si>
  <si>
    <t>G1: xcel brands xelb zacks investment research hold head inc brokerages</t>
  </si>
  <si>
    <t>Autofill Workbook Results</t>
  </si>
  <si>
    <t>Edge Weight▓1▓1▓0▓True▓Gray▓Red▓▓Edge Weight▓1▓1▓0▓3▓10▓False▓Edge Weight▓1▓1▓0▓35▓12▓False▓▓0▓0▓0▓True▓Black▓Black▓▓Followers▓213▓747▓0▓162▓1000▓False▓▓0▓0▓0▓0▓0▓False▓▓0▓0▓0▓0▓0▓False▓▓0▓0▓0▓0▓0▓False</t>
  </si>
  <si>
    <t>GraphSource░GraphServerTwitterSearch▓GraphTerm░%22Xcel Brands%22▓ImportDescription░The graph represents a network of 14 Twitter users whose tweets in the requested range contained "%22Xcel Brands%22", or who were replied to or mentioned in those tweets.  The network was obtained from the NodeXL Graph Server on Wednesday, 23 January 2019 at 09:19 UTC.
The requested start date was Wednesday, 23 January 2019 at 01:01 UTC and the maximum number of days (going backward) was 14.
The maximum number of tweets collected was 5,000.
The tweets in the network were tweeted over the 12-day, 8-hour, 57-minute period from Thursday, 10 January 2019 at 12:13 UTC to Tuesday, 22 January 2019 at 21:11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</si>
</sst>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applyAlignment="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5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51"/>
      <tableStyleElement type="headerRow" dxfId="350"/>
    </tableStyle>
    <tableStyle name="NodeXL Table" pivot="0" count="1">
      <tableStyleElement type="headerRow" dxfId="34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microsoft.com/office/2007/relationships/slicerCache" Target="/xl/slicerCaches/slicerCache2.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21651788"/>
        <c:axId val="60648365"/>
      </c:barChart>
      <c:catAx>
        <c:axId val="2165178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0648365"/>
        <c:crosses val="autoZero"/>
        <c:auto val="1"/>
        <c:lblOffset val="100"/>
        <c:noMultiLvlLbl val="0"/>
      </c:catAx>
      <c:valAx>
        <c:axId val="606483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6517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%22Xcel Brands%22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Series'!$A$26:$A$44</c:f>
              <c:strCache>
                <c:ptCount val="18"/>
                <c:pt idx="0">
                  <c:v>1/10/2019 12:13</c:v>
                </c:pt>
                <c:pt idx="1">
                  <c:v>1/10/2019 14:20</c:v>
                </c:pt>
                <c:pt idx="2">
                  <c:v>1/10/2019 15:20</c:v>
                </c:pt>
                <c:pt idx="3">
                  <c:v>1/10/2019 15:36</c:v>
                </c:pt>
                <c:pt idx="4">
                  <c:v>1/11/2019 14:05</c:v>
                </c:pt>
                <c:pt idx="5">
                  <c:v>1/13/2019 19:52</c:v>
                </c:pt>
                <c:pt idx="6">
                  <c:v>1/13/2019 19:55</c:v>
                </c:pt>
                <c:pt idx="7">
                  <c:v>1/14/2019 21:37</c:v>
                </c:pt>
                <c:pt idx="8">
                  <c:v>1/16/2019 3:40</c:v>
                </c:pt>
                <c:pt idx="9">
                  <c:v>1/20/2019 3:05</c:v>
                </c:pt>
                <c:pt idx="10">
                  <c:v>1/20/2019 3:14</c:v>
                </c:pt>
                <c:pt idx="11">
                  <c:v>1/20/2019 18:27</c:v>
                </c:pt>
                <c:pt idx="12">
                  <c:v>1/21/2019 8:00</c:v>
                </c:pt>
                <c:pt idx="13">
                  <c:v>1/21/2019 8:01</c:v>
                </c:pt>
                <c:pt idx="14">
                  <c:v>1/22/2019 7:36</c:v>
                </c:pt>
                <c:pt idx="15">
                  <c:v>1/22/2019 7:36</c:v>
                </c:pt>
                <c:pt idx="16">
                  <c:v>1/22/2019 7:36</c:v>
                </c:pt>
                <c:pt idx="17">
                  <c:v>1/22/2019 21:11</c:v>
                </c:pt>
              </c:strCache>
            </c:strRef>
          </c:cat>
          <c:val>
            <c:numRef>
              <c:f>'Time Series'!$B$26:$B$44</c:f>
              <c:numCache>
                <c:formatCode>General</c:formatCode>
                <c:ptCount val="18"/>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numCache>
            </c:numRef>
          </c:val>
        </c:ser>
        <c:axId val="41447398"/>
        <c:axId val="37482263"/>
      </c:barChart>
      <c:catAx>
        <c:axId val="41447398"/>
        <c:scaling>
          <c:orientation val="minMax"/>
        </c:scaling>
        <c:axPos val="b"/>
        <c:delete val="0"/>
        <c:numFmt formatCode="General" sourceLinked="1"/>
        <c:majorTickMark val="out"/>
        <c:minorTickMark val="none"/>
        <c:tickLblPos val="nextTo"/>
        <c:crossAx val="37482263"/>
        <c:crosses val="autoZero"/>
        <c:auto val="1"/>
        <c:lblOffset val="100"/>
        <c:noMultiLvlLbl val="0"/>
      </c:catAx>
      <c:valAx>
        <c:axId val="37482263"/>
        <c:scaling>
          <c:orientation val="minMax"/>
        </c:scaling>
        <c:axPos val="l"/>
        <c:majorGridlines/>
        <c:delete val="0"/>
        <c:numFmt formatCode="General" sourceLinked="1"/>
        <c:majorTickMark val="out"/>
        <c:minorTickMark val="none"/>
        <c:tickLblPos val="nextTo"/>
        <c:crossAx val="4144739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8964374"/>
        <c:axId val="13570503"/>
      </c:barChart>
      <c:catAx>
        <c:axId val="896437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3570503"/>
        <c:crosses val="autoZero"/>
        <c:auto val="1"/>
        <c:lblOffset val="100"/>
        <c:noMultiLvlLbl val="0"/>
      </c:catAx>
      <c:valAx>
        <c:axId val="135705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9643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55025664"/>
        <c:axId val="25468929"/>
      </c:barChart>
      <c:catAx>
        <c:axId val="5502566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5468929"/>
        <c:crosses val="autoZero"/>
        <c:auto val="1"/>
        <c:lblOffset val="100"/>
        <c:noMultiLvlLbl val="0"/>
      </c:catAx>
      <c:valAx>
        <c:axId val="254689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0256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27893770"/>
        <c:axId val="49717339"/>
      </c:barChart>
      <c:catAx>
        <c:axId val="2789377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9717339"/>
        <c:crosses val="autoZero"/>
        <c:auto val="1"/>
        <c:lblOffset val="100"/>
        <c:noMultiLvlLbl val="0"/>
      </c:catAx>
      <c:valAx>
        <c:axId val="497173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8937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44802868"/>
        <c:axId val="572629"/>
      </c:barChart>
      <c:catAx>
        <c:axId val="4480286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72629"/>
        <c:crosses val="autoZero"/>
        <c:auto val="1"/>
        <c:lblOffset val="100"/>
        <c:noMultiLvlLbl val="0"/>
      </c:catAx>
      <c:valAx>
        <c:axId val="5726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8028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5153662"/>
        <c:axId val="46382959"/>
      </c:barChart>
      <c:catAx>
        <c:axId val="515366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6382959"/>
        <c:crosses val="autoZero"/>
        <c:auto val="1"/>
        <c:lblOffset val="100"/>
        <c:noMultiLvlLbl val="0"/>
      </c:catAx>
      <c:valAx>
        <c:axId val="463829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536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14793448"/>
        <c:axId val="66032169"/>
      </c:barChart>
      <c:catAx>
        <c:axId val="1479344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6032169"/>
        <c:crosses val="autoZero"/>
        <c:auto val="1"/>
        <c:lblOffset val="100"/>
        <c:noMultiLvlLbl val="0"/>
      </c:catAx>
      <c:valAx>
        <c:axId val="660321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7934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57418610"/>
        <c:axId val="47005443"/>
      </c:barChart>
      <c:catAx>
        <c:axId val="5741861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7005443"/>
        <c:crosses val="autoZero"/>
        <c:auto val="1"/>
        <c:lblOffset val="100"/>
        <c:noMultiLvlLbl val="0"/>
      </c:catAx>
      <c:valAx>
        <c:axId val="470054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4186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20395804"/>
        <c:axId val="49344509"/>
      </c:barChart>
      <c:catAx>
        <c:axId val="20395804"/>
        <c:scaling>
          <c:orientation val="minMax"/>
        </c:scaling>
        <c:axPos val="b"/>
        <c:delete val="1"/>
        <c:majorTickMark val="out"/>
        <c:minorTickMark val="none"/>
        <c:tickLblPos val="none"/>
        <c:crossAx val="49344509"/>
        <c:crosses val="autoZero"/>
        <c:auto val="1"/>
        <c:lblOffset val="100"/>
        <c:noMultiLvlLbl val="0"/>
      </c:catAx>
      <c:valAx>
        <c:axId val="49344509"/>
        <c:scaling>
          <c:orientation val="minMax"/>
        </c:scaling>
        <c:axPos val="l"/>
        <c:delete val="1"/>
        <c:majorTickMark val="out"/>
        <c:minorTickMark val="none"/>
        <c:tickLblPos val="none"/>
        <c:crossAx val="2039580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8" refreshedBy="Marc Smith" refreshedVersion="5">
  <cacheSource type="worksheet">
    <worksheetSource ref="A2:BL20" sheet="Time Series Edges"/>
  </cacheSource>
  <cacheFields count="64">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1">
        <s v="Tweet"/>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MixedTypes="0" count="0"/>
    </cacheField>
    <cacheField name="Domains in Tweet">
      <sharedItems containsMixedTypes="0" count="0"/>
    </cacheField>
    <cacheField name="Hashtags in Tweet">
      <sharedItems containsBlank="1" containsMixedTypes="0" count="2">
        <m/>
        <s v="stocks"/>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18">
        <d v="2019-01-10T14:20:48.000"/>
        <d v="2019-01-10T15:20:02.000"/>
        <d v="2019-01-10T15:36:00.000"/>
        <d v="2019-01-13T19:52:35.000"/>
        <d v="2019-01-14T21:37:34.000"/>
        <d v="2019-01-16T03:40:53.000"/>
        <d v="2019-01-20T03:05:13.000"/>
        <d v="2019-01-20T03:14:21.000"/>
        <d v="2019-01-11T14:05:30.000"/>
        <d v="2019-01-20T18:27:00.000"/>
        <d v="2019-01-21T08:00:26.000"/>
        <d v="2019-01-13T19:55:09.000"/>
        <d v="2019-01-21T08:01:08.000"/>
        <d v="2019-01-22T07:36:20.000"/>
        <d v="2019-01-22T07:36:21.000"/>
        <d v="2019-01-10T12:13:31.000"/>
        <d v="2019-01-22T07:36:42.000"/>
        <d v="2019-01-22T21:11:23.000"/>
      </sharedItems>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emiMixedTypes="0" containsString="0" containsMixedTypes="0" containsNumber="1" containsInteger="1" count="0"/>
    </cacheField>
    <cacheField name="Sentiment List #1: Positive Word Percentage (%)" numFmtId="167">
      <sharedItems containsSemiMixedTypes="0" containsString="0" containsMixedTypes="0" containsNumber="1" containsInteger="1" count="0"/>
    </cacheField>
    <cacheField name="Sentiment List #2: Negative Word Count" numFmtId="1">
      <sharedItems containsSemiMixedTypes="0" containsString="0" containsMixedTypes="0" containsNumber="1" containsInteger="1" count="0"/>
    </cacheField>
    <cacheField name="Sentiment List #2: Negative Word Percentage (%)" numFmtId="167">
      <sharedItems containsSemiMixedTypes="0" containsString="0" containsMixedTypes="0" containsNumber="1" containsInteger="1" count="0"/>
    </cacheField>
    <cacheField name="Sentiment List #3: Angry/Violent Word Count" numFmtId="1">
      <sharedItems containsSemiMixedTypes="0" containsString="0" containsMixedTypes="0" containsNumber="1" containsInteger="1" count="0"/>
    </cacheField>
    <cacheField name="Sentiment List #3: Angry/Violent Word Percentage (%)" numFmtId="167">
      <sharedItems containsSemiMixedTypes="0" containsString="0" containsMixedTypes="0" containsNumber="1" containsInteger="1" count="0"/>
    </cacheField>
    <cacheField name="Non-categorized Word Count" numFmtId="1">
      <sharedItems containsSemiMixedTypes="0" containsString="0" containsMixedTypes="0" containsNumber="1" containsInteger="1" count="0"/>
    </cacheField>
    <cacheField name="Non-categorized Word Percentage (%)" numFmtId="167">
      <sharedItems containsSemiMixedTypes="0" containsString="0" containsMixedTypes="0" containsNumber="1" containsInteger="1" count="0"/>
    </cacheField>
    <cacheField name="Edge Content Word Count" numFmtId="1">
      <sharedItems containsSemiMixedTypes="0" containsString="0"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8">
  <r>
    <s v="dailypoliticaln"/>
    <s v="dailypoliticaln"/>
    <m/>
    <m/>
    <m/>
    <m/>
    <m/>
    <m/>
    <m/>
    <m/>
    <s v="No"/>
    <n v="3"/>
    <m/>
    <m/>
    <x v="0"/>
    <d v="2019-01-10T14:20:48.000"/>
    <s v="Head to Head Analysis: ARC Group $ARCK and XCel Brands $XELB https://t.co/2QHPCn8Zwu"/>
    <s v="https://www.dailypolitical.com/?p=2635792"/>
    <s v="dailypolitical.com"/>
    <x v="0"/>
    <m/>
    <s v="http://pbs.twimg.com/profile_images/433324818658623488/hxhCoePy_normal.jpeg"/>
    <x v="0"/>
    <s v="https://twitter.com/#!/dailypoliticaln/status/1083368059669237760"/>
    <m/>
    <m/>
    <s v="1083368059669237760"/>
    <m/>
    <b v="0"/>
    <n v="0"/>
    <s v=""/>
    <b v="0"/>
    <s v="en"/>
    <m/>
    <s v=""/>
    <b v="0"/>
    <n v="0"/>
    <s v=""/>
    <s v="Zapier.com"/>
    <b v="0"/>
    <s v="1083368059669237760"/>
    <s v="Tweet"/>
    <n v="0"/>
    <n v="0"/>
    <m/>
    <m/>
    <m/>
    <m/>
    <m/>
    <m/>
    <m/>
    <m/>
    <n v="1"/>
    <s v="1"/>
    <s v="1"/>
    <n v="0"/>
    <n v="0"/>
    <n v="0"/>
    <n v="0"/>
    <n v="0"/>
    <n v="0"/>
    <n v="11"/>
    <n v="100"/>
    <n v="11"/>
  </r>
  <r>
    <s v="anadiobioma"/>
    <s v="anadiobioma"/>
    <m/>
    <m/>
    <m/>
    <m/>
    <m/>
    <m/>
    <m/>
    <m/>
    <s v="No"/>
    <n v="4"/>
    <m/>
    <m/>
    <x v="0"/>
    <d v="2019-01-10T15:20:02.000"/>
    <s v="Head to Head Analysis: ARC Group (ARCK) and XCel Brands (XELB) https://t.co/gYi4gIL7ah"/>
    <s v="https://drumup.io/s/Bd4zLm"/>
    <s v="drumup.io"/>
    <x v="0"/>
    <m/>
    <s v="http://pbs.twimg.com/profile_images/1060158056170954752/XDmPUkro_normal.jpg"/>
    <x v="1"/>
    <s v="https://twitter.com/#!/anadiobioma/status/1083382967546695680"/>
    <m/>
    <m/>
    <s v="1083382967546695680"/>
    <m/>
    <b v="0"/>
    <n v="0"/>
    <s v=""/>
    <b v="0"/>
    <s v="en"/>
    <m/>
    <s v=""/>
    <b v="0"/>
    <n v="0"/>
    <s v=""/>
    <s v="drumup.io"/>
    <b v="0"/>
    <s v="1083382967546695680"/>
    <s v="Tweet"/>
    <n v="0"/>
    <n v="0"/>
    <m/>
    <m/>
    <m/>
    <m/>
    <m/>
    <m/>
    <m/>
    <m/>
    <n v="2"/>
    <s v="1"/>
    <s v="1"/>
    <n v="0"/>
    <n v="0"/>
    <n v="0"/>
    <n v="0"/>
    <n v="0"/>
    <n v="0"/>
    <n v="11"/>
    <n v="100"/>
    <n v="11"/>
  </r>
  <r>
    <s v="anadiobioma"/>
    <s v="anadiobioma"/>
    <m/>
    <m/>
    <m/>
    <m/>
    <m/>
    <m/>
    <m/>
    <m/>
    <s v="No"/>
    <n v="5"/>
    <m/>
    <m/>
    <x v="0"/>
    <d v="2019-01-10T15:36:00.000"/>
    <s v="Head to Head Analysis: ARC Group (ARCK) and XCel Brands (XELB) https://t.co/MCvNf40k4g"/>
    <s v="https://www.dailypolitical.com/2019/01/10/head-to-head-analysis-arc-group-arck-and-xcel-brands-xelb.html"/>
    <s v="dailypolitical.com"/>
    <x v="0"/>
    <m/>
    <s v="http://pbs.twimg.com/profile_images/1060158056170954752/XDmPUkro_normal.jpg"/>
    <x v="2"/>
    <s v="https://twitter.com/#!/anadiobioma/status/1083386988013641728"/>
    <m/>
    <m/>
    <s v="1083386988013641728"/>
    <m/>
    <b v="0"/>
    <n v="0"/>
    <s v=""/>
    <b v="0"/>
    <s v="en"/>
    <m/>
    <s v=""/>
    <b v="0"/>
    <n v="0"/>
    <s v=""/>
    <s v="drumup.io"/>
    <b v="0"/>
    <s v="1083386988013641728"/>
    <s v="Tweet"/>
    <n v="0"/>
    <n v="0"/>
    <m/>
    <m/>
    <m/>
    <m/>
    <m/>
    <m/>
    <m/>
    <m/>
    <n v="2"/>
    <s v="1"/>
    <s v="1"/>
    <n v="0"/>
    <n v="0"/>
    <n v="0"/>
    <n v="0"/>
    <n v="0"/>
    <n v="0"/>
    <n v="11"/>
    <n v="100"/>
    <n v="11"/>
  </r>
  <r>
    <s v="weekherald"/>
    <s v="weekherald"/>
    <m/>
    <m/>
    <m/>
    <m/>
    <m/>
    <m/>
    <m/>
    <m/>
    <s v="No"/>
    <n v="6"/>
    <m/>
    <m/>
    <x v="0"/>
    <d v="2019-01-13T19:52:35.000"/>
    <s v="Brokerages Anticipate XCel Brands Inc $XELB to Announce $0.05 EPS https://t.co/vrfkb9xzGa"/>
    <s v="https://weekherald.com/?p=3434492"/>
    <s v="weekherald.com"/>
    <x v="0"/>
    <m/>
    <s v="http://pbs.twimg.com/profile_images/888131487710588928/TxnNBLKZ_normal.jpg"/>
    <x v="3"/>
    <s v="https://twitter.com/#!/weekherald/status/1084538722278952960"/>
    <m/>
    <m/>
    <s v="1084538722278952960"/>
    <m/>
    <b v="0"/>
    <n v="0"/>
    <s v=""/>
    <b v="0"/>
    <s v="en"/>
    <m/>
    <s v=""/>
    <b v="0"/>
    <n v="0"/>
    <s v=""/>
    <s v="Zapier.com"/>
    <b v="0"/>
    <s v="1084538722278952960"/>
    <s v="Tweet"/>
    <n v="0"/>
    <n v="0"/>
    <m/>
    <m/>
    <m/>
    <m/>
    <m/>
    <m/>
    <m/>
    <m/>
    <n v="1"/>
    <s v="1"/>
    <s v="1"/>
    <n v="0"/>
    <n v="0"/>
    <n v="0"/>
    <n v="0"/>
    <n v="0"/>
    <n v="0"/>
    <n v="11"/>
    <n v="100"/>
    <n v="11"/>
  </r>
  <r>
    <s v="confcalltran"/>
    <s v="confcalltran"/>
    <m/>
    <m/>
    <m/>
    <m/>
    <m/>
    <m/>
    <m/>
    <m/>
    <s v="No"/>
    <n v="7"/>
    <m/>
    <m/>
    <x v="0"/>
    <d v="2019-01-14T21:37:34.000"/>
    <s v="XCel Brands, Inc.'s Chief Financial Officer just disposed of 54,000 shares  https://t.co/IfllXusTsG $XELB"/>
    <s v="http://www.conferencecalltranscripts.org/4/summary2/?id=5663369"/>
    <s v="conferencecalltranscripts.org"/>
    <x v="0"/>
    <m/>
    <s v="http://pbs.twimg.com/profile_images/487406679001026560/pubQUS9Z_normal.jpeg"/>
    <x v="4"/>
    <s v="https://twitter.com/#!/confcalltran/status/1084927527058108416"/>
    <m/>
    <m/>
    <s v="1084927527058108416"/>
    <m/>
    <b v="0"/>
    <n v="0"/>
    <s v=""/>
    <b v="0"/>
    <s v="en"/>
    <m/>
    <s v=""/>
    <b v="0"/>
    <n v="0"/>
    <s v=""/>
    <s v="ConfCallTran"/>
    <b v="0"/>
    <s v="1084927527058108416"/>
    <s v="Tweet"/>
    <n v="0"/>
    <n v="0"/>
    <m/>
    <m/>
    <m/>
    <m/>
    <m/>
    <m/>
    <m/>
    <m/>
    <n v="1"/>
    <s v="1"/>
    <s v="1"/>
    <n v="0"/>
    <n v="0"/>
    <n v="0"/>
    <n v="0"/>
    <n v="0"/>
    <n v="0"/>
    <n v="14"/>
    <n v="100"/>
    <n v="14"/>
  </r>
  <r>
    <s v="chaffeybreeze"/>
    <s v="chaffeybreeze"/>
    <m/>
    <m/>
    <m/>
    <m/>
    <m/>
    <m/>
    <m/>
    <m/>
    <s v="No"/>
    <n v="8"/>
    <m/>
    <m/>
    <x v="0"/>
    <d v="2019-01-16T03:40:53.000"/>
    <s v="Zacks: Brokerages Set $5.00 Price Target for XCel Brands Inc $XELB https://t.co/uOzUfvGZom #stocks"/>
    <s v="https://chaffeybreeze.com/?p=2260871"/>
    <s v="chaffeybreeze.com"/>
    <x v="1"/>
    <m/>
    <s v="http://pbs.twimg.com/profile_images/828754065706274816/bcfoORRd_normal.jpg"/>
    <x v="5"/>
    <s v="https://twitter.com/#!/chaffeybreeze/status/1085381346653016064"/>
    <m/>
    <m/>
    <s v="1085381346653016064"/>
    <m/>
    <b v="0"/>
    <n v="0"/>
    <s v=""/>
    <b v="0"/>
    <s v="en"/>
    <m/>
    <s v=""/>
    <b v="0"/>
    <n v="0"/>
    <s v=""/>
    <s v="Zapier.com"/>
    <b v="0"/>
    <s v="1085381346653016064"/>
    <s v="Tweet"/>
    <n v="0"/>
    <n v="0"/>
    <m/>
    <m/>
    <m/>
    <m/>
    <m/>
    <m/>
    <m/>
    <m/>
    <n v="1"/>
    <s v="1"/>
    <s v="1"/>
    <n v="0"/>
    <n v="0"/>
    <n v="0"/>
    <n v="0"/>
    <n v="0"/>
    <n v="0"/>
    <n v="13"/>
    <n v="100"/>
    <n v="13"/>
  </r>
  <r>
    <s v="themarketsdaily"/>
    <s v="themarketsdaily"/>
    <m/>
    <m/>
    <m/>
    <m/>
    <m/>
    <m/>
    <m/>
    <m/>
    <s v="No"/>
    <n v="9"/>
    <m/>
    <m/>
    <x v="0"/>
    <d v="2019-01-20T03:05:13.000"/>
    <s v="XCel Brands $XELB Downgraded to Hold at Zacks Investment Research https://t.co/adWvnDmOtj"/>
    <s v="http://www.themarketsdaily.com/?p=2179648"/>
    <s v="themarketsdaily.com"/>
    <x v="0"/>
    <m/>
    <s v="http://pbs.twimg.com/profile_images/849428984488185857/i3dIvJVS_normal.jpg"/>
    <x v="6"/>
    <s v="https://twitter.com/#!/themarketsdaily/status/1086821925140291585"/>
    <m/>
    <m/>
    <s v="1086821925140291585"/>
    <m/>
    <b v="0"/>
    <n v="0"/>
    <s v=""/>
    <b v="0"/>
    <s v="en"/>
    <m/>
    <s v=""/>
    <b v="0"/>
    <n v="0"/>
    <s v=""/>
    <s v="Zapier.com"/>
    <b v="0"/>
    <s v="1086821925140291585"/>
    <s v="Tweet"/>
    <n v="0"/>
    <n v="0"/>
    <m/>
    <m/>
    <m/>
    <m/>
    <m/>
    <m/>
    <m/>
    <m/>
    <n v="1"/>
    <s v="1"/>
    <s v="1"/>
    <n v="0"/>
    <n v="0"/>
    <n v="0"/>
    <n v="0"/>
    <n v="0"/>
    <n v="0"/>
    <n v="10"/>
    <n v="100"/>
    <n v="10"/>
  </r>
  <r>
    <s v="macondailynews"/>
    <s v="macondailynews"/>
    <m/>
    <m/>
    <m/>
    <m/>
    <m/>
    <m/>
    <m/>
    <m/>
    <s v="No"/>
    <n v="10"/>
    <m/>
    <m/>
    <x v="0"/>
    <d v="2019-01-20T03:14:21.000"/>
    <s v="XCel Brands $XELB Downgraded to Hold at Zacks Investment Research https://t.co/A8NCBZO7Rd"/>
    <s v="https://macondaily.com/?p=1474996"/>
    <s v="macondaily.com"/>
    <x v="0"/>
    <m/>
    <s v="http://pbs.twimg.com/profile_images/966766832458674176/9rnz8MMA_normal.jpg"/>
    <x v="7"/>
    <s v="https://twitter.com/#!/macondailynews/status/1086824220603174915"/>
    <m/>
    <m/>
    <s v="1086824220603174915"/>
    <m/>
    <b v="0"/>
    <n v="0"/>
    <s v=""/>
    <b v="0"/>
    <s v="en"/>
    <m/>
    <s v=""/>
    <b v="0"/>
    <n v="0"/>
    <s v=""/>
    <s v="Zapier.com"/>
    <b v="0"/>
    <s v="1086824220603174915"/>
    <s v="Tweet"/>
    <n v="0"/>
    <n v="0"/>
    <m/>
    <m/>
    <m/>
    <m/>
    <m/>
    <m/>
    <m/>
    <m/>
    <n v="1"/>
    <s v="1"/>
    <s v="1"/>
    <n v="0"/>
    <n v="0"/>
    <n v="0"/>
    <n v="0"/>
    <n v="0"/>
    <n v="0"/>
    <n v="10"/>
    <n v="100"/>
    <n v="10"/>
  </r>
  <r>
    <s v="transcriptdaily"/>
    <s v="transcriptdaily"/>
    <m/>
    <m/>
    <m/>
    <m/>
    <m/>
    <m/>
    <m/>
    <m/>
    <s v="No"/>
    <n v="11"/>
    <m/>
    <m/>
    <x v="0"/>
    <d v="2019-01-11T14:05:30.000"/>
    <s v="XCel Brands Inc $XELB Given Consensus Rating of “Strong Buy” by Brokerages https://t.co/7eA6dS464W"/>
    <s v="http://www.transcriptdaily.com/?p=2056136"/>
    <s v="transcriptdaily.com"/>
    <x v="0"/>
    <m/>
    <s v="http://pbs.twimg.com/profile_images/852935198387732480/RZ-jnMw__normal.jpg"/>
    <x v="8"/>
    <s v="https://twitter.com/#!/transcriptdaily/status/1083726598866722816"/>
    <m/>
    <m/>
    <s v="1083726598866722816"/>
    <m/>
    <b v="0"/>
    <n v="0"/>
    <s v=""/>
    <b v="0"/>
    <s v="en"/>
    <m/>
    <s v=""/>
    <b v="0"/>
    <n v="0"/>
    <s v=""/>
    <s v="Zapier.com"/>
    <b v="0"/>
    <s v="1083726598866722816"/>
    <s v="Tweet"/>
    <n v="0"/>
    <n v="0"/>
    <m/>
    <m/>
    <m/>
    <m/>
    <m/>
    <m/>
    <m/>
    <m/>
    <n v="2"/>
    <s v="1"/>
    <s v="1"/>
    <n v="1"/>
    <n v="8.333333333333334"/>
    <n v="0"/>
    <n v="0"/>
    <n v="0"/>
    <n v="0"/>
    <n v="11"/>
    <n v="91.66666666666667"/>
    <n v="12"/>
  </r>
  <r>
    <s v="transcriptdaily"/>
    <s v="transcriptdaily"/>
    <m/>
    <m/>
    <m/>
    <m/>
    <m/>
    <m/>
    <m/>
    <m/>
    <s v="No"/>
    <n v="12"/>
    <m/>
    <m/>
    <x v="0"/>
    <d v="2019-01-20T18:27:00.000"/>
    <s v="XCel Brands $XELB Downgraded to “Hold” at Zacks Investment Research https://t.co/2b5YYloN72"/>
    <s v="http://www.transcriptdaily.com/?p=2076428"/>
    <s v="transcriptdaily.com"/>
    <x v="0"/>
    <m/>
    <s v="http://pbs.twimg.com/profile_images/852935198387732480/RZ-jnMw__normal.jpg"/>
    <x v="9"/>
    <s v="https://twitter.com/#!/transcriptdaily/status/1087053898165207042"/>
    <m/>
    <m/>
    <s v="1087053898165207042"/>
    <m/>
    <b v="0"/>
    <n v="0"/>
    <s v=""/>
    <b v="0"/>
    <s v="en"/>
    <m/>
    <s v=""/>
    <b v="0"/>
    <n v="0"/>
    <s v=""/>
    <s v="Zapier.com"/>
    <b v="0"/>
    <s v="1087053898165207042"/>
    <s v="Tweet"/>
    <n v="0"/>
    <n v="0"/>
    <m/>
    <m/>
    <m/>
    <m/>
    <m/>
    <m/>
    <m/>
    <m/>
    <n v="2"/>
    <s v="1"/>
    <s v="1"/>
    <n v="0"/>
    <n v="0"/>
    <n v="0"/>
    <n v="0"/>
    <n v="0"/>
    <n v="0"/>
    <n v="10"/>
    <n v="100"/>
    <n v="10"/>
  </r>
  <r>
    <s v="dakotafinancial"/>
    <s v="dakotafinancial"/>
    <m/>
    <m/>
    <m/>
    <m/>
    <m/>
    <m/>
    <m/>
    <m/>
    <s v="No"/>
    <n v="13"/>
    <m/>
    <m/>
    <x v="0"/>
    <d v="2019-01-21T08:00:26.000"/>
    <s v="Zacks Investment Research Downgrades XCel Brands $XELB to Hold https://t.co/7fCEvPohIY"/>
    <s v="https://dakotafinancialnews.com/?p=777866"/>
    <s v="dakotafinancialnews.com"/>
    <x v="0"/>
    <m/>
    <s v="http://abs.twimg.com/sticky/default_profile_images/default_profile_normal.png"/>
    <x v="10"/>
    <s v="https://twitter.com/#!/dakotafinancial/status/1087258603759775744"/>
    <m/>
    <m/>
    <s v="1087258603759775744"/>
    <m/>
    <b v="0"/>
    <n v="0"/>
    <s v=""/>
    <b v="0"/>
    <s v="en"/>
    <m/>
    <s v=""/>
    <b v="0"/>
    <n v="0"/>
    <s v=""/>
    <s v="Zapier.com"/>
    <b v="0"/>
    <s v="1087258603759775744"/>
    <s v="Tweet"/>
    <n v="0"/>
    <n v="0"/>
    <m/>
    <m/>
    <m/>
    <m/>
    <m/>
    <m/>
    <m/>
    <m/>
    <n v="1"/>
    <s v="1"/>
    <s v="1"/>
    <n v="0"/>
    <n v="0"/>
    <n v="0"/>
    <n v="0"/>
    <n v="0"/>
    <n v="0"/>
    <n v="9"/>
    <n v="100"/>
    <n v="9"/>
  </r>
  <r>
    <s v="stocknewstimes"/>
    <s v="stocknewstimes"/>
    <m/>
    <m/>
    <m/>
    <m/>
    <m/>
    <m/>
    <m/>
    <m/>
    <s v="No"/>
    <n v="14"/>
    <m/>
    <m/>
    <x v="0"/>
    <d v="2019-01-13T19:55:09.000"/>
    <s v="Zacks: XCel Brands Inc (XELB) Given Average Recommendation of “Strong Buy” by Brokerages  https://t.co/UUQjPHlGr0"/>
    <s v="https://www.thestockobserver.com/2019/01/13/zacks-xcel-brands-inc-xelb-given-average-recommendation-of-strong-buy-by-brokerages.html"/>
    <s v="thestockobserver.com"/>
    <x v="0"/>
    <m/>
    <s v="http://pbs.twimg.com/profile_images/887064077482065920/iIK7OfFQ_normal.jpg"/>
    <x v="11"/>
    <s v="https://twitter.com/#!/stocknewstimes/status/1084539365236396032"/>
    <m/>
    <m/>
    <s v="1084539365236396032"/>
    <m/>
    <b v="0"/>
    <n v="1"/>
    <s v=""/>
    <b v="0"/>
    <s v="en"/>
    <m/>
    <s v=""/>
    <b v="0"/>
    <n v="0"/>
    <s v=""/>
    <s v="Zapier.com"/>
    <b v="0"/>
    <s v="1084539365236396032"/>
    <s v="Tweet"/>
    <n v="0"/>
    <n v="0"/>
    <m/>
    <m/>
    <m/>
    <m/>
    <m/>
    <m/>
    <m/>
    <m/>
    <n v="2"/>
    <s v="1"/>
    <s v="1"/>
    <n v="2"/>
    <n v="15.384615384615385"/>
    <n v="0"/>
    <n v="0"/>
    <n v="0"/>
    <n v="0"/>
    <n v="11"/>
    <n v="84.61538461538461"/>
    <n v="13"/>
  </r>
  <r>
    <s v="stocknewstimes"/>
    <s v="stocknewstimes"/>
    <m/>
    <m/>
    <m/>
    <m/>
    <m/>
    <m/>
    <m/>
    <m/>
    <s v="No"/>
    <n v="15"/>
    <m/>
    <m/>
    <x v="0"/>
    <d v="2019-01-21T08:01:08.000"/>
    <s v="XCel Brands (XELB) Downgraded to “Hold” at Zacks Investment Research  https://t.co/MltGfrBewR"/>
    <s v="https://www.thestockobserver.com/2019/01/21/xcel-brands-xelb-downgraded-to-hold-at-zacks-investment-research.html"/>
    <s v="thestockobserver.com"/>
    <x v="0"/>
    <m/>
    <s v="http://pbs.twimg.com/profile_images/887064077482065920/iIK7OfFQ_normal.jpg"/>
    <x v="12"/>
    <s v="https://twitter.com/#!/stocknewstimes/status/1087258783573782529"/>
    <m/>
    <m/>
    <s v="1087258783573782529"/>
    <m/>
    <b v="0"/>
    <n v="0"/>
    <s v=""/>
    <b v="0"/>
    <s v="en"/>
    <m/>
    <s v=""/>
    <b v="0"/>
    <n v="0"/>
    <s v=""/>
    <s v="Zapier.com"/>
    <b v="0"/>
    <s v="1087258783573782529"/>
    <s v="Tweet"/>
    <n v="0"/>
    <n v="0"/>
    <m/>
    <m/>
    <m/>
    <m/>
    <m/>
    <m/>
    <m/>
    <m/>
    <n v="2"/>
    <s v="1"/>
    <s v="1"/>
    <n v="0"/>
    <n v="0"/>
    <n v="0"/>
    <n v="0"/>
    <n v="0"/>
    <n v="0"/>
    <n v="10"/>
    <n v="100"/>
    <n v="10"/>
  </r>
  <r>
    <s v="enterpriseleade"/>
    <s v="enterpriseleade"/>
    <m/>
    <m/>
    <m/>
    <m/>
    <m/>
    <m/>
    <m/>
    <m/>
    <s v="No"/>
    <n v="16"/>
    <m/>
    <m/>
    <x v="0"/>
    <d v="2019-01-22T07:36:20.000"/>
    <s v="Zacks Investment Research Lowers XCel Brands $XELB to Hold  https://t.co/VWP8FNgOpd"/>
    <s v="https://theenterpriseleader.com/?p=1823032"/>
    <s v="theenterpriseleader.com"/>
    <x v="0"/>
    <m/>
    <s v="http://pbs.twimg.com/profile_images/966007162500562945/JE8dLxj__normal.jpg"/>
    <x v="13"/>
    <s v="https://twitter.com/#!/enterpriseleade/status/1087614926905065473"/>
    <m/>
    <m/>
    <s v="1087614926905065473"/>
    <m/>
    <b v="0"/>
    <n v="0"/>
    <s v=""/>
    <b v="0"/>
    <s v="en"/>
    <m/>
    <s v=""/>
    <b v="0"/>
    <n v="0"/>
    <s v=""/>
    <s v="Zapier.com"/>
    <b v="0"/>
    <s v="1087614926905065473"/>
    <s v="Tweet"/>
    <n v="0"/>
    <n v="0"/>
    <m/>
    <m/>
    <m/>
    <m/>
    <m/>
    <m/>
    <m/>
    <m/>
    <n v="1"/>
    <s v="1"/>
    <s v="1"/>
    <n v="0"/>
    <n v="0"/>
    <n v="0"/>
    <n v="0"/>
    <n v="0"/>
    <n v="0"/>
    <n v="9"/>
    <n v="100"/>
    <n v="9"/>
  </r>
  <r>
    <s v="registrarjourn"/>
    <s v="registrarjourn"/>
    <m/>
    <m/>
    <m/>
    <m/>
    <m/>
    <m/>
    <m/>
    <m/>
    <s v="No"/>
    <n v="17"/>
    <m/>
    <m/>
    <x v="0"/>
    <d v="2019-01-22T07:36:21.000"/>
    <s v="Zacks Investment Research Lowers XCel Brands $XELB to Hold https://t.co/SvL3g90ltz"/>
    <s v="http://theenterpriseleader.com/?p=1823032"/>
    <s v="theenterpriseleader.com"/>
    <x v="0"/>
    <m/>
    <s v="http://pbs.twimg.com/profile_images/949405284031610880/kvSoG2ED_normal.jpg"/>
    <x v="14"/>
    <s v="https://twitter.com/#!/registrarjourn/status/1087614931032334337"/>
    <m/>
    <m/>
    <s v="1087614931032334337"/>
    <m/>
    <b v="0"/>
    <n v="0"/>
    <s v=""/>
    <b v="0"/>
    <s v="en"/>
    <m/>
    <s v=""/>
    <b v="0"/>
    <n v="0"/>
    <s v=""/>
    <s v="Zapier.com"/>
    <b v="0"/>
    <s v="1087614931032334337"/>
    <s v="Tweet"/>
    <n v="0"/>
    <n v="0"/>
    <m/>
    <m/>
    <m/>
    <m/>
    <m/>
    <m/>
    <m/>
    <m/>
    <n v="1"/>
    <s v="1"/>
    <s v="1"/>
    <n v="0"/>
    <n v="0"/>
    <n v="0"/>
    <n v="0"/>
    <n v="0"/>
    <n v="0"/>
    <n v="9"/>
    <n v="100"/>
    <n v="9"/>
  </r>
  <r>
    <s v="dispatchtribune"/>
    <s v="dispatchtribune"/>
    <m/>
    <m/>
    <m/>
    <m/>
    <m/>
    <m/>
    <m/>
    <m/>
    <s v="No"/>
    <n v="18"/>
    <m/>
    <m/>
    <x v="0"/>
    <d v="2019-01-10T12:13:31.000"/>
    <s v="Reviewing XCel Brands $XELB &amp;amp; MGT Capital Investments $MGTI https://t.co/iMTGDjGX27"/>
    <s v="https://dispatchtribunal.com/?p=2490299"/>
    <s v="dispatchtribunal.com"/>
    <x v="0"/>
    <m/>
    <s v="http://pbs.twimg.com/profile_images/901201131174363137/f5XejW6W_normal.jpg"/>
    <x v="15"/>
    <s v="https://twitter.com/#!/dispatchtribune/status/1083336028788805632"/>
    <m/>
    <m/>
    <s v="1083336028788805632"/>
    <m/>
    <b v="0"/>
    <n v="0"/>
    <s v=""/>
    <b v="0"/>
    <s v="tl"/>
    <m/>
    <s v=""/>
    <b v="0"/>
    <n v="0"/>
    <s v=""/>
    <s v="Zapier.com"/>
    <b v="0"/>
    <s v="1083336028788805632"/>
    <s v="Tweet"/>
    <n v="0"/>
    <n v="0"/>
    <m/>
    <m/>
    <m/>
    <m/>
    <m/>
    <m/>
    <m/>
    <m/>
    <n v="2"/>
    <s v="1"/>
    <s v="1"/>
    <n v="0"/>
    <n v="0"/>
    <n v="0"/>
    <n v="0"/>
    <n v="0"/>
    <n v="0"/>
    <n v="9"/>
    <n v="100"/>
    <n v="9"/>
  </r>
  <r>
    <s v="dispatchtribune"/>
    <s v="dispatchtribune"/>
    <m/>
    <m/>
    <m/>
    <m/>
    <m/>
    <m/>
    <m/>
    <m/>
    <s v="No"/>
    <n v="19"/>
    <m/>
    <m/>
    <x v="0"/>
    <d v="2019-01-22T07:36:42.000"/>
    <s v="Zacks Investment Research Lowers XCel Brands $XELB to Hold https://t.co/4IeFmM4rMm"/>
    <s v="https://dispatchtribunal.com/?p=2515014"/>
    <s v="dispatchtribunal.com"/>
    <x v="0"/>
    <m/>
    <s v="http://pbs.twimg.com/profile_images/901201131174363137/f5XejW6W_normal.jpg"/>
    <x v="16"/>
    <s v="https://twitter.com/#!/dispatchtribune/status/1087615021398532096"/>
    <m/>
    <m/>
    <s v="1087615021398532096"/>
    <m/>
    <b v="0"/>
    <n v="0"/>
    <s v=""/>
    <b v="0"/>
    <s v="en"/>
    <m/>
    <s v=""/>
    <b v="0"/>
    <n v="0"/>
    <s v=""/>
    <s v="Zapier.com"/>
    <b v="0"/>
    <s v="1087615021398532096"/>
    <s v="Tweet"/>
    <n v="0"/>
    <n v="0"/>
    <m/>
    <m/>
    <m/>
    <m/>
    <m/>
    <m/>
    <m/>
    <m/>
    <n v="2"/>
    <s v="1"/>
    <s v="1"/>
    <n v="0"/>
    <n v="0"/>
    <n v="0"/>
    <n v="0"/>
    <n v="0"/>
    <n v="0"/>
    <n v="9"/>
    <n v="100"/>
    <n v="9"/>
  </r>
  <r>
    <s v="bbnsnews"/>
    <s v="bbnsnews"/>
    <m/>
    <m/>
    <m/>
    <m/>
    <m/>
    <m/>
    <m/>
    <m/>
    <s v="No"/>
    <n v="20"/>
    <m/>
    <m/>
    <x v="0"/>
    <d v="2019-01-22T21:11:23.000"/>
    <s v="XCel Brands $XELB Rating Increased to Buy at Zacks Investment Research  https://t.co/Z2ZDAeMxsJ"/>
    <s v="https://baseballnewssource.com/?p=3158071"/>
    <s v="baseballnewssource.com"/>
    <x v="0"/>
    <m/>
    <s v="http://pbs.twimg.com/profile_images/950447991495606272/ru9vq2m9_normal.jpg"/>
    <x v="17"/>
    <s v="https://twitter.com/#!/bbnsnews/status/1087820043642175488"/>
    <m/>
    <m/>
    <s v="1087820043642175488"/>
    <m/>
    <b v="0"/>
    <n v="0"/>
    <s v=""/>
    <b v="0"/>
    <s v="en"/>
    <m/>
    <s v=""/>
    <b v="0"/>
    <n v="0"/>
    <s v=""/>
    <s v="Zapier.com"/>
    <b v="0"/>
    <s v="1087820043642175488"/>
    <s v="Tweet"/>
    <n v="0"/>
    <n v="0"/>
    <m/>
    <m/>
    <m/>
    <m/>
    <m/>
    <m/>
    <m/>
    <m/>
    <n v="1"/>
    <s v="1"/>
    <s v="1"/>
    <n v="0"/>
    <n v="0"/>
    <n v="0"/>
    <n v="0"/>
    <n v="0"/>
    <n v="0"/>
    <n v="11"/>
    <n v="100"/>
    <n v="1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44" firstHeaderRow="1" firstDataRow="1" firstDataCol="1"/>
  <pivotFields count="6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9">
        <item x="15"/>
        <item x="0"/>
        <item x="1"/>
        <item x="2"/>
        <item x="8"/>
        <item x="3"/>
        <item x="11"/>
        <item x="4"/>
        <item x="5"/>
        <item x="6"/>
        <item x="7"/>
        <item x="9"/>
        <item x="10"/>
        <item x="12"/>
        <item x="13"/>
        <item x="14"/>
        <item x="16"/>
        <item x="17"/>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1"/>
    <pivotField showAll="0" numFmtId="167"/>
    <pivotField showAll="0" numFmtId="1"/>
    <pivotField showAll="0" numFmtId="167"/>
    <pivotField showAll="0" numFmtId="1"/>
    <pivotField showAll="0" numFmtId="167"/>
    <pivotField showAll="0" numFmtId="1"/>
    <pivotField showAll="0" numFmtId="167"/>
    <pivotField showAll="0" numFmtId="1"/>
  </pivotFields>
  <rowFields count="1">
    <field x="22"/>
  </rowFields>
  <rowItems count="19">
    <i>
      <x/>
    </i>
    <i>
      <x v="1"/>
    </i>
    <i>
      <x v="2"/>
    </i>
    <i>
      <x v="3"/>
    </i>
    <i>
      <x v="4"/>
    </i>
    <i>
      <x v="5"/>
    </i>
    <i>
      <x v="6"/>
    </i>
    <i>
      <x v="7"/>
    </i>
    <i>
      <x v="8"/>
    </i>
    <i>
      <x v="9"/>
    </i>
    <i>
      <x v="10"/>
    </i>
    <i>
      <x v="11"/>
    </i>
    <i>
      <x v="12"/>
    </i>
    <i>
      <x v="13"/>
    </i>
    <i>
      <x v="14"/>
    </i>
    <i>
      <x v="15"/>
    </i>
    <i>
      <x v="16"/>
    </i>
    <i>
      <x v="17"/>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4" name="TimeSeries"/>
  </pivotTables>
  <data>
    <tabular pivotCacheId="1">
      <items count="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4" name="TimeSeries"/>
  </pivotTables>
  <data>
    <tabular pivotCacheId="1">
      <items count="2">
        <i x="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20" totalsRowShown="0" headerRowDxfId="348" dataDxfId="347">
  <autoFilter ref="A2:BL20"/>
  <tableColumns count="64">
    <tableColumn id="1" name="Vertex 1" dataDxfId="346"/>
    <tableColumn id="2" name="Vertex 2" dataDxfId="345"/>
    <tableColumn id="3" name="Color" dataDxfId="344"/>
    <tableColumn id="4" name="Width" dataDxfId="343"/>
    <tableColumn id="11" name="Style" dataDxfId="342"/>
    <tableColumn id="5" name="Opacity" dataDxfId="341"/>
    <tableColumn id="6" name="Visibility" dataDxfId="340"/>
    <tableColumn id="10" name="Label" dataDxfId="339"/>
    <tableColumn id="12" name="Label Text Color" dataDxfId="338"/>
    <tableColumn id="13" name="Label Font Size" dataDxfId="337"/>
    <tableColumn id="14" name="Reciprocated?" dataDxfId="94"/>
    <tableColumn id="7" name="ID" dataDxfId="336"/>
    <tableColumn id="9" name="Dynamic Filter" dataDxfId="335"/>
    <tableColumn id="8" name="Add Your Own Columns Here" dataDxfId="334"/>
    <tableColumn id="15" name="Relationship" dataDxfId="333"/>
    <tableColumn id="16" name="Relationship Date (UTC)" dataDxfId="332"/>
    <tableColumn id="17" name="Tweet" dataDxfId="331"/>
    <tableColumn id="18" name="URLs in Tweet" dataDxfId="330"/>
    <tableColumn id="19" name="Domains in Tweet" dataDxfId="329"/>
    <tableColumn id="20" name="Hashtags in Tweet" dataDxfId="328"/>
    <tableColumn id="21" name="Media in Tweet" dataDxfId="327"/>
    <tableColumn id="22" name="Tweet Image File" dataDxfId="326"/>
    <tableColumn id="23" name="Tweet Date (UTC)" dataDxfId="325"/>
    <tableColumn id="24" name="Twitter Page for Tweet" dataDxfId="324"/>
    <tableColumn id="25" name="Latitude" dataDxfId="323"/>
    <tableColumn id="26" name="Longitude" dataDxfId="322"/>
    <tableColumn id="27" name="Imported ID" dataDxfId="321"/>
    <tableColumn id="28" name="In-Reply-To Tweet ID" dataDxfId="320"/>
    <tableColumn id="29" name="Favorited" dataDxfId="319"/>
    <tableColumn id="30" name="Favorite Count" dataDxfId="318"/>
    <tableColumn id="31" name="In-Reply-To User ID" dataDxfId="317"/>
    <tableColumn id="32" name="Is Quote Status" dataDxfId="316"/>
    <tableColumn id="33" name="Language" dataDxfId="315"/>
    <tableColumn id="34" name="Possibly Sensitive" dataDxfId="314"/>
    <tableColumn id="35" name="Quoted Status ID" dataDxfId="313"/>
    <tableColumn id="36" name="Retweeted" dataDxfId="312"/>
    <tableColumn id="37" name="Retweet Count" dataDxfId="311"/>
    <tableColumn id="38" name="Retweet ID" dataDxfId="310"/>
    <tableColumn id="39" name="Source" dataDxfId="309"/>
    <tableColumn id="40" name="Truncated" dataDxfId="308"/>
    <tableColumn id="41" name="Unified Twitter ID" dataDxfId="307"/>
    <tableColumn id="42" name="Imported Tweet Type" dataDxfId="306"/>
    <tableColumn id="43" name="Added By Extended Analysis" dataDxfId="305"/>
    <tableColumn id="44" name="Corrected By Extended Analysis" dataDxfId="304"/>
    <tableColumn id="45" name="Place Bounding Box" dataDxfId="303"/>
    <tableColumn id="46" name="Place Country" dataDxfId="302"/>
    <tableColumn id="47" name="Place Country Code" dataDxfId="301"/>
    <tableColumn id="48" name="Place Full Name" dataDxfId="300"/>
    <tableColumn id="49" name="Place ID" dataDxfId="299"/>
    <tableColumn id="50" name="Place Name" dataDxfId="298"/>
    <tableColumn id="51" name="Place Type" dataDxfId="297"/>
    <tableColumn id="52" name="Place URL" dataDxfId="296"/>
    <tableColumn id="53" name="Edge Weight"/>
    <tableColumn id="54" name="Vertex 1 Group" dataDxfId="219">
      <calculatedColumnFormula>REPLACE(INDEX(GroupVertices[Group], MATCH(Edges[[#This Row],[Vertex 1]],GroupVertices[Vertex],0)),1,1,"")</calculatedColumnFormula>
    </tableColumn>
    <tableColumn id="55" name="Vertex 2 Group" dataDxfId="124">
      <calculatedColumnFormula>REPLACE(INDEX(GroupVertices[Group], MATCH(Edges[[#This Row],[Vertex 2]],GroupVertices[Vertex],0)),1,1,"")</calculatedColumnFormula>
    </tableColumn>
    <tableColumn id="56" name="Sentiment List #1: Positive Word Count" dataDxfId="123"/>
    <tableColumn id="57" name="Sentiment List #1: Positive Word Percentage (%)" dataDxfId="122"/>
    <tableColumn id="58" name="Sentiment List #2: Negative Word Count" dataDxfId="121"/>
    <tableColumn id="59" name="Sentiment List #2: Negative Word Percentage (%)" dataDxfId="120"/>
    <tableColumn id="60" name="Sentiment List #3: Angry/Violent Word Count" dataDxfId="119"/>
    <tableColumn id="61" name="Sentiment List #3: Angry/Violent Word Percentage (%)" dataDxfId="118"/>
    <tableColumn id="62" name="Non-categorized Word Count" dataDxfId="117"/>
    <tableColumn id="63" name="Non-categorized Word Percentage (%)" dataDxfId="116"/>
    <tableColumn id="64" name="Edge Content Word Count" dataDxfId="11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2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3" totalsRowShown="0" headerRowDxfId="218" dataDxfId="217">
  <autoFilter ref="A2:C3"/>
  <tableColumns count="3">
    <tableColumn id="1" name="Group 1" dataDxfId="216"/>
    <tableColumn id="2" name="Group 2" dataDxfId="215"/>
    <tableColumn id="3" name="Edges" dataDxfId="214"/>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D11" totalsRowShown="0" headerRowDxfId="211" dataDxfId="210">
  <autoFilter ref="A1:D11"/>
  <tableColumns count="4">
    <tableColumn id="1" name="Top URLs in Tweet in Entire Graph" dataDxfId="209"/>
    <tableColumn id="2" name="Entire Graph Count" dataDxfId="208"/>
    <tableColumn id="3" name="Top URLs in Tweet in G1" dataDxfId="207"/>
    <tableColumn id="4" name="G1 Count" dataDxfId="206"/>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4:D24" totalsRowShown="0" headerRowDxfId="205" dataDxfId="204">
  <autoFilter ref="A14:D24"/>
  <tableColumns count="4">
    <tableColumn id="1" name="Top Domains in Tweet in Entire Graph" dataDxfId="203"/>
    <tableColumn id="2" name="Entire Graph Count" dataDxfId="202"/>
    <tableColumn id="3" name="Top Domains in Tweet in G1" dataDxfId="201"/>
    <tableColumn id="4" name="G1 Count" dataDxfId="200"/>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27:D28" totalsRowShown="0" headerRowDxfId="199" dataDxfId="198">
  <autoFilter ref="A27:D28"/>
  <tableColumns count="4">
    <tableColumn id="1" name="Top Hashtags in Tweet in Entire Graph" dataDxfId="197"/>
    <tableColumn id="2" name="Entire Graph Count" dataDxfId="196"/>
    <tableColumn id="3" name="Top Hashtags in Tweet in G1" dataDxfId="195"/>
    <tableColumn id="4" name="G1 Count" dataDxfId="194"/>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31:D41" totalsRowShown="0" headerRowDxfId="192" dataDxfId="191">
  <autoFilter ref="A31:D41"/>
  <tableColumns count="4">
    <tableColumn id="1" name="Top Words in Tweet in Entire Graph" dataDxfId="190"/>
    <tableColumn id="2" name="Entire Graph Count" dataDxfId="189"/>
    <tableColumn id="3" name="Top Words in Tweet in G1" dataDxfId="188"/>
    <tableColumn id="4" name="G1 Count" dataDxfId="187"/>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44:D54" totalsRowShown="0" headerRowDxfId="185" dataDxfId="184">
  <autoFilter ref="A44:D54"/>
  <tableColumns count="4">
    <tableColumn id="1" name="Top Word Pairs in Tweet in Entire Graph" dataDxfId="183"/>
    <tableColumn id="2" name="Entire Graph Count" dataDxfId="182"/>
    <tableColumn id="3" name="Top Word Pairs in Tweet in G1" dataDxfId="181"/>
    <tableColumn id="4" name="G1 Count" dataDxfId="180"/>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57:D58" totalsRowShown="0" headerRowDxfId="178" dataDxfId="177">
  <autoFilter ref="A57:D58"/>
  <tableColumns count="4">
    <tableColumn id="1" name="Top Replied-To in Entire Graph" dataDxfId="176"/>
    <tableColumn id="2" name="Entire Graph Count" dataDxfId="172"/>
    <tableColumn id="3" name="Top Replied-To in G1" dataDxfId="171"/>
    <tableColumn id="4" name="G1 Count" dataDxfId="170"/>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60:D61" totalsRowShown="0" headerRowDxfId="175" dataDxfId="174">
  <autoFilter ref="A60:D61"/>
  <tableColumns count="4">
    <tableColumn id="1" name="Top Mentioned in Entire Graph" dataDxfId="173"/>
    <tableColumn id="2" name="Entire Graph Count" dataDxfId="169"/>
    <tableColumn id="3" name="Top Mentioned in G1" dataDxfId="168"/>
    <tableColumn id="4" name="G1 Count" dataDxfId="167"/>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63:D73" totalsRowShown="0" headerRowDxfId="164" dataDxfId="163">
  <autoFilter ref="A63:D73"/>
  <tableColumns count="4">
    <tableColumn id="1" name="Top Tweeters in Entire Graph" dataDxfId="162"/>
    <tableColumn id="2" name="Entire Graph Count" dataDxfId="161"/>
    <tableColumn id="3" name="Top Tweeters in G1" dataDxfId="160"/>
    <tableColumn id="4" name="G1 Count" dataDxfId="15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6" totalsRowShown="0" headerRowDxfId="295" dataDxfId="294">
  <autoFilter ref="A2:BS16"/>
  <tableColumns count="71">
    <tableColumn id="1" name="Vertex" dataDxfId="293"/>
    <tableColumn id="2" name="Color" dataDxfId="292"/>
    <tableColumn id="5" name="Shape" dataDxfId="291"/>
    <tableColumn id="6" name="Size" dataDxfId="290"/>
    <tableColumn id="4" name="Opacity" dataDxfId="289"/>
    <tableColumn id="7" name="Image File" dataDxfId="288"/>
    <tableColumn id="3" name="Visibility" dataDxfId="287"/>
    <tableColumn id="10" name="Label" dataDxfId="286"/>
    <tableColumn id="16" name="Label Fill Color" dataDxfId="285"/>
    <tableColumn id="9" name="Label Position" dataDxfId="284"/>
    <tableColumn id="8" name="Tooltip" dataDxfId="283"/>
    <tableColumn id="18" name="Layout Order" dataDxfId="282"/>
    <tableColumn id="13" name="X" dataDxfId="281"/>
    <tableColumn id="14" name="Y" dataDxfId="280"/>
    <tableColumn id="12" name="Locked?" dataDxfId="279"/>
    <tableColumn id="19" name="Polar R" dataDxfId="278"/>
    <tableColumn id="20" name="Polar Angle" dataDxfId="277"/>
    <tableColumn id="21" name="Degree" dataDxfId="77"/>
    <tableColumn id="22" name="In-Degree" dataDxfId="76"/>
    <tableColumn id="23" name="Out-Degree" dataDxfId="73"/>
    <tableColumn id="24" name="Betweenness Centrality" dataDxfId="72"/>
    <tableColumn id="25" name="Closeness Centrality" dataDxfId="71"/>
    <tableColumn id="26" name="Eigenvector Centrality" dataDxfId="69"/>
    <tableColumn id="15" name="PageRank" dataDxfId="70"/>
    <tableColumn id="27" name="Clustering Coefficient" dataDxfId="74"/>
    <tableColumn id="29" name="Reciprocated Vertex Pair Ratio" dataDxfId="75"/>
    <tableColumn id="11" name="ID" dataDxfId="276"/>
    <tableColumn id="28" name="Dynamic Filter" dataDxfId="275"/>
    <tableColumn id="17" name="Add Your Own Columns Here" dataDxfId="274"/>
    <tableColumn id="30" name="Name" dataDxfId="273"/>
    <tableColumn id="31" name="Followed" dataDxfId="272"/>
    <tableColumn id="32" name="Followers" dataDxfId="271"/>
    <tableColumn id="33" name="Tweets" dataDxfId="270"/>
    <tableColumn id="34" name="Favorites" dataDxfId="269"/>
    <tableColumn id="35" name="Time Zone UTC Offset (Seconds)" dataDxfId="268"/>
    <tableColumn id="36" name="Description" dataDxfId="267"/>
    <tableColumn id="37" name="Location" dataDxfId="266"/>
    <tableColumn id="38" name="Web" dataDxfId="265"/>
    <tableColumn id="39" name="Time Zone" dataDxfId="264"/>
    <tableColumn id="40" name="Joined Twitter Date (UTC)" dataDxfId="263"/>
    <tableColumn id="41" name="Profile Banner Url" dataDxfId="262"/>
    <tableColumn id="42" name="Default Profile" dataDxfId="261"/>
    <tableColumn id="43" name="Default Profile Image" dataDxfId="260"/>
    <tableColumn id="44" name="Geo Enabled" dataDxfId="259"/>
    <tableColumn id="45" name="Language" dataDxfId="258"/>
    <tableColumn id="46" name="Listed Count" dataDxfId="257"/>
    <tableColumn id="47" name="Profile Background Image Url" dataDxfId="256"/>
    <tableColumn id="48" name="Verified" dataDxfId="255"/>
    <tableColumn id="49" name="Custom Menu Item Text" dataDxfId="254"/>
    <tableColumn id="50" name="Custom Menu Item Action" dataDxfId="253"/>
    <tableColumn id="51" name="Tweeted Search Term?" dataDxfId="220"/>
    <tableColumn id="52" name="Vertex Group" dataDxfId="157">
      <calculatedColumnFormula>REPLACE(INDEX(GroupVertices[Group], MATCH(Vertices[[#This Row],[Vertex]],GroupVertices[Vertex],0)),1,1,"")</calculatedColumnFormula>
    </tableColumn>
    <tableColumn id="53" name="Top URLs in Tweet by Count" dataDxfId="156"/>
    <tableColumn id="54" name="Top URLs in Tweet by Salience" dataDxfId="155"/>
    <tableColumn id="55" name="Top Domains in Tweet by Count" dataDxfId="154"/>
    <tableColumn id="56" name="Top Domains in Tweet by Salience" dataDxfId="153"/>
    <tableColumn id="57" name="Top Hashtags in Tweet by Count" dataDxfId="152"/>
    <tableColumn id="58" name="Top Hashtags in Tweet by Salience" dataDxfId="151"/>
    <tableColumn id="59" name="Top Words in Tweet by Count" dataDxfId="150"/>
    <tableColumn id="60" name="Top Words in Tweet by Salience" dataDxfId="149"/>
    <tableColumn id="61" name="Top Word Pairs in Tweet by Count" dataDxfId="148"/>
    <tableColumn id="62" name="Top Word Pairs in Tweet by Salience" dataDxfId="114"/>
    <tableColumn id="63" name="Sentiment List #1: Positive Word Count" dataDxfId="113"/>
    <tableColumn id="64" name="Sentiment List #1: Positive Word Percentage (%)" dataDxfId="112"/>
    <tableColumn id="65" name="Sentiment List #2: Negative Word Count" dataDxfId="111"/>
    <tableColumn id="66" name="Sentiment List #2: Negative Word Percentage (%)" dataDxfId="110"/>
    <tableColumn id="67" name="Sentiment List #3: Angry/Violent Word Count" dataDxfId="109"/>
    <tableColumn id="68" name="Sentiment List #3: Angry/Violent Word Percentage (%)" dataDxfId="108"/>
    <tableColumn id="69" name="Non-categorized Word Count" dataDxfId="107"/>
    <tableColumn id="70" name="Non-categorized Word Percentage (%)" dataDxfId="106"/>
    <tableColumn id="71" name="Vertex Content Word Count" dataDxfId="105"/>
  </tableColumns>
  <tableStyleInfo name="NodeXL Table" showFirstColumn="0" showLastColumn="0" showRowStripes="0" showColumnStripes="0"/>
</table>
</file>

<file path=xl/tables/table20.xml><?xml version="1.0" encoding="utf-8"?>
<table xmlns="http://schemas.openxmlformats.org/spreadsheetml/2006/main" id="20" name="Words" displayName="Words" ref="A1:G46" totalsRowShown="0" headerRowDxfId="147" dataDxfId="146">
  <autoFilter ref="A1:G46"/>
  <tableColumns count="7">
    <tableColumn id="1" name="Word" dataDxfId="145"/>
    <tableColumn id="2" name="Count" dataDxfId="144"/>
    <tableColumn id="3" name="Salience" dataDxfId="143"/>
    <tableColumn id="4" name="Group" dataDxfId="142"/>
    <tableColumn id="5" name="Word on Sentiment List #1: Positive" dataDxfId="141"/>
    <tableColumn id="6" name="Word on Sentiment List #2: Negative" dataDxfId="140"/>
    <tableColumn id="7" name="Word on Sentiment List #3: Angry/Violent" dataDxfId="139"/>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43" totalsRowShown="0" headerRowDxfId="138" dataDxfId="137">
  <autoFilter ref="A1:L43"/>
  <tableColumns count="12">
    <tableColumn id="1" name="Word 1" dataDxfId="136"/>
    <tableColumn id="2" name="Word 2" dataDxfId="135"/>
    <tableColumn id="3" name="Count" dataDxfId="134"/>
    <tableColumn id="4" name="Salience" dataDxfId="133"/>
    <tableColumn id="5" name="Mutual Information" dataDxfId="132"/>
    <tableColumn id="6" name="Group" dataDxfId="131"/>
    <tableColumn id="7" name="Word1 on Sentiment List #1: Positive" dataDxfId="130"/>
    <tableColumn id="8" name="Word1 on Sentiment List #2: Negative" dataDxfId="129"/>
    <tableColumn id="9" name="Word1 on Sentiment List #3: Angry/Violent" dataDxfId="128"/>
    <tableColumn id="10" name="Word2 on Sentiment List #1: Positive" dataDxfId="127"/>
    <tableColumn id="11" name="Word2 on Sentiment List #2: Negative" dataDxfId="126"/>
    <tableColumn id="12" name="Word2 on Sentiment List #3: Angry/Violent" dataDxfId="125"/>
  </tableColumns>
  <tableStyleInfo name="NodeXL Table" showFirstColumn="0" showLastColumn="0" showRowStripes="1" showColumnStripes="0"/>
</table>
</file>

<file path=xl/tables/table22.xml><?xml version="1.0" encoding="utf-8"?>
<table xmlns="http://schemas.openxmlformats.org/spreadsheetml/2006/main" id="23" name="Edges24" displayName="Edges24" ref="A2:BL20" totalsRowShown="0" headerRowDxfId="64" dataDxfId="63">
  <autoFilter ref="A2:BL20"/>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MATCH(Edges24[[#This Row],[Vertex 1]],GroupVertices[Vertex],0)),1,1,"")</calculatedColumnFormula>
    </tableColumn>
    <tableColumn id="55" name="Vertex 2 Group" dataDxfId="9">
      <calculatedColumnFormula>REPLACE(INDEX(GroupVertices[Group], MATCH(Edges24[[#This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3.xml><?xml version="1.0" encoding="utf-8"?>
<table xmlns="http://schemas.openxmlformats.org/spreadsheetml/2006/main" id="22" name="TopItems_1" displayName="TopItems_1" ref="A1:B11" totalsRowShown="0" headerRowDxfId="68" dataDxfId="67">
  <autoFilter ref="A1:B11"/>
  <tableColumns count="2">
    <tableColumn id="1" name="Top 10 Vertices, Ranked by Betweenness Centrality" dataDxfId="66"/>
    <tableColumn id="2" name="Betweenness Centrality" dataDxfId="65"/>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totalsRowShown="0" headerRowDxfId="252">
  <autoFilter ref="A2:AO3"/>
  <tableColumns count="41">
    <tableColumn id="1" name="Group" dataDxfId="227"/>
    <tableColumn id="2" name="Vertex Color" dataDxfId="226"/>
    <tableColumn id="3" name="Vertex Shape" dataDxfId="224"/>
    <tableColumn id="22" name="Visibility" dataDxfId="225"/>
    <tableColumn id="4" name="Collapsed?"/>
    <tableColumn id="18" name="Label" dataDxfId="251"/>
    <tableColumn id="20" name="Collapsed X"/>
    <tableColumn id="21" name="Collapsed Y"/>
    <tableColumn id="6" name="ID" dataDxfId="250"/>
    <tableColumn id="19" name="Collapsed Properties" dataDxfId="93"/>
    <tableColumn id="5" name="Vertices" dataDxfId="92"/>
    <tableColumn id="7" name="Unique Edges" dataDxfId="91"/>
    <tableColumn id="8" name="Edges With Duplicates" dataDxfId="90"/>
    <tableColumn id="9" name="Total Edges" dataDxfId="89"/>
    <tableColumn id="10" name="Self-Loops" dataDxfId="88"/>
    <tableColumn id="24" name="Reciprocated Vertex Pair Ratio" dataDxfId="87"/>
    <tableColumn id="25" name="Reciprocated Edge Ratio" dataDxfId="86"/>
    <tableColumn id="11" name="Connected Components" dataDxfId="85"/>
    <tableColumn id="12" name="Single-Vertex Connected Components" dataDxfId="84"/>
    <tableColumn id="13" name="Maximum Vertices in a Connected Component" dataDxfId="83"/>
    <tableColumn id="14" name="Maximum Edges in a Connected Component" dataDxfId="82"/>
    <tableColumn id="15" name="Maximum Geodesic Distance (Diameter)" dataDxfId="81"/>
    <tableColumn id="16" name="Average Geodesic Distance" dataDxfId="80"/>
    <tableColumn id="17" name="Graph Density" dataDxfId="78"/>
    <tableColumn id="23" name="Top URLs in Tweet" dataDxfId="79"/>
    <tableColumn id="26" name="Top Domains in Tweet" dataDxfId="193"/>
    <tableColumn id="27" name="Top Hashtags in Tweet" dataDxfId="186"/>
    <tableColumn id="28" name="Top Words in Tweet" dataDxfId="179"/>
    <tableColumn id="29" name="Top Word Pairs in Tweet" dataDxfId="166"/>
    <tableColumn id="30" name="Top Replied-To in Tweet" dataDxfId="165"/>
    <tableColumn id="31" name="Top Mentioned in Tweet" dataDxfId="158"/>
    <tableColumn id="32" name="Top Tweeters" dataDxfId="104"/>
    <tableColumn id="33" name="Sentiment List #1: Positive Word Count" dataDxfId="103"/>
    <tableColumn id="34" name="Sentiment List #1: Positive Word Percentage (%)" dataDxfId="102"/>
    <tableColumn id="35" name="Sentiment List #2: Negative Word Count" dataDxfId="101"/>
    <tableColumn id="36" name="Sentiment List #2: Negative Word Percentage (%)" dataDxfId="100"/>
    <tableColumn id="37" name="Sentiment List #3: Angry/Violent Word Count" dataDxfId="99"/>
    <tableColumn id="38" name="Sentiment List #3: Angry/Violent Word Percentage (%)" dataDxfId="98"/>
    <tableColumn id="39" name="Non-categorized Word Count" dataDxfId="97"/>
    <tableColumn id="40" name="Non-categorized Word Percentage (%)" dataDxfId="96"/>
    <tableColumn id="41" name="Group Content Word Count" dataDxfId="9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5" totalsRowShown="0" headerRowDxfId="249" dataDxfId="248">
  <autoFilter ref="A1:C15"/>
  <tableColumns count="3">
    <tableColumn id="1" name="Group" dataDxfId="223"/>
    <tableColumn id="2" name="Vertex" dataDxfId="222"/>
    <tableColumn id="3" name="Vertex ID" dataDxfId="22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0" totalsRowShown="0">
  <autoFilter ref="A1:B30"/>
  <tableColumns count="2">
    <tableColumn id="1" name="Graph Metric" dataDxfId="213"/>
    <tableColumn id="2" name="Value" dataDxfId="21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47"/>
    <tableColumn id="2" name="Degree Frequency" dataDxfId="246">
      <calculatedColumnFormula>COUNTIF(Vertices[Degree], "&gt;= " &amp; D2) - COUNTIF(Vertices[Degree], "&gt;=" &amp; D3)</calculatedColumnFormula>
    </tableColumn>
    <tableColumn id="3" name="In-Degree Bin" dataDxfId="245"/>
    <tableColumn id="4" name="In-Degree Frequency" dataDxfId="244">
      <calculatedColumnFormula>COUNTIF(Vertices[In-Degree], "&gt;= " &amp; F2) - COUNTIF(Vertices[In-Degree], "&gt;=" &amp; F3)</calculatedColumnFormula>
    </tableColumn>
    <tableColumn id="5" name="Out-Degree Bin" dataDxfId="243"/>
    <tableColumn id="6" name="Out-Degree Frequency" dataDxfId="242">
      <calculatedColumnFormula>COUNTIF(Vertices[Out-Degree], "&gt;= " &amp; H2) - COUNTIF(Vertices[Out-Degree], "&gt;=" &amp; H3)</calculatedColumnFormula>
    </tableColumn>
    <tableColumn id="7" name="Betweenness Centrality Bin" dataDxfId="241"/>
    <tableColumn id="8" name="Betweenness Centrality Frequency" dataDxfId="240">
      <calculatedColumnFormula>COUNTIF(Vertices[Betweenness Centrality], "&gt;= " &amp; J2) - COUNTIF(Vertices[Betweenness Centrality], "&gt;=" &amp; J3)</calculatedColumnFormula>
    </tableColumn>
    <tableColumn id="9" name="Closeness Centrality Bin" dataDxfId="239"/>
    <tableColumn id="10" name="Closeness Centrality Frequency" dataDxfId="238">
      <calculatedColumnFormula>COUNTIF(Vertices[Closeness Centrality], "&gt;= " &amp; L2) - COUNTIF(Vertices[Closeness Centrality], "&gt;=" &amp; L3)</calculatedColumnFormula>
    </tableColumn>
    <tableColumn id="11" name="Eigenvector Centrality Bin" dataDxfId="237"/>
    <tableColumn id="12" name="Eigenvector Centrality Frequency" dataDxfId="236">
      <calculatedColumnFormula>COUNTIF(Vertices[Eigenvector Centrality], "&gt;= " &amp; N2) - COUNTIF(Vertices[Eigenvector Centrality], "&gt;=" &amp; N3)</calculatedColumnFormula>
    </tableColumn>
    <tableColumn id="18" name="PageRank Bin" dataDxfId="235"/>
    <tableColumn id="17" name="PageRank Frequency" dataDxfId="234">
      <calculatedColumnFormula>COUNTIF(Vertices[Eigenvector Centrality], "&gt;= " &amp; P2) - COUNTIF(Vertices[Eigenvector Centrality], "&gt;=" &amp; P3)</calculatedColumnFormula>
    </tableColumn>
    <tableColumn id="13" name="Clustering Coefficient Bin" dataDxfId="233"/>
    <tableColumn id="14" name="Clustering Coefficient Frequency" dataDxfId="232">
      <calculatedColumnFormula>COUNTIF(Vertices[Clustering Coefficient], "&gt;= " &amp; R2) - COUNTIF(Vertices[Clustering Coefficient], "&gt;=" &amp; R3)</calculatedColumnFormula>
    </tableColumn>
    <tableColumn id="15" name="Dynamic Filter Bin" dataDxfId="231"/>
    <tableColumn id="16" name="Dynamic Filter Frequency" dataDxfId="23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29">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dailypolitical.com/?p=2635792" TargetMode="External" /><Relationship Id="rId2" Type="http://schemas.openxmlformats.org/officeDocument/2006/relationships/hyperlink" Target="https://drumup.io/s/Bd4zLm" TargetMode="External" /><Relationship Id="rId3" Type="http://schemas.openxmlformats.org/officeDocument/2006/relationships/hyperlink" Target="https://www.dailypolitical.com/2019/01/10/head-to-head-analysis-arc-group-arck-and-xcel-brands-xelb.html" TargetMode="External" /><Relationship Id="rId4" Type="http://schemas.openxmlformats.org/officeDocument/2006/relationships/hyperlink" Target="https://weekherald.com/?p=3434492" TargetMode="External" /><Relationship Id="rId5" Type="http://schemas.openxmlformats.org/officeDocument/2006/relationships/hyperlink" Target="http://www.conferencecalltranscripts.org/4/summary2/?id=5663369" TargetMode="External" /><Relationship Id="rId6" Type="http://schemas.openxmlformats.org/officeDocument/2006/relationships/hyperlink" Target="https://chaffeybreeze.com/?p=2260871" TargetMode="External" /><Relationship Id="rId7" Type="http://schemas.openxmlformats.org/officeDocument/2006/relationships/hyperlink" Target="http://www.themarketsdaily.com/?p=2179648" TargetMode="External" /><Relationship Id="rId8" Type="http://schemas.openxmlformats.org/officeDocument/2006/relationships/hyperlink" Target="https://macondaily.com/?p=1474996" TargetMode="External" /><Relationship Id="rId9" Type="http://schemas.openxmlformats.org/officeDocument/2006/relationships/hyperlink" Target="http://www.transcriptdaily.com/?p=2056136" TargetMode="External" /><Relationship Id="rId10" Type="http://schemas.openxmlformats.org/officeDocument/2006/relationships/hyperlink" Target="http://www.transcriptdaily.com/?p=2076428" TargetMode="External" /><Relationship Id="rId11" Type="http://schemas.openxmlformats.org/officeDocument/2006/relationships/hyperlink" Target="https://dakotafinancialnews.com/?p=777866" TargetMode="External" /><Relationship Id="rId12" Type="http://schemas.openxmlformats.org/officeDocument/2006/relationships/hyperlink" Target="https://www.thestockobserver.com/2019/01/13/zacks-xcel-brands-inc-xelb-given-average-recommendation-of-strong-buy-by-brokerages.html" TargetMode="External" /><Relationship Id="rId13" Type="http://schemas.openxmlformats.org/officeDocument/2006/relationships/hyperlink" Target="https://www.thestockobserver.com/2019/01/21/xcel-brands-xelb-downgraded-to-hold-at-zacks-investment-research.html" TargetMode="External" /><Relationship Id="rId14" Type="http://schemas.openxmlformats.org/officeDocument/2006/relationships/hyperlink" Target="https://theenterpriseleader.com/?p=1823032" TargetMode="External" /><Relationship Id="rId15" Type="http://schemas.openxmlformats.org/officeDocument/2006/relationships/hyperlink" Target="http://theenterpriseleader.com/?p=1823032" TargetMode="External" /><Relationship Id="rId16" Type="http://schemas.openxmlformats.org/officeDocument/2006/relationships/hyperlink" Target="https://dispatchtribunal.com/?p=2490299" TargetMode="External" /><Relationship Id="rId17" Type="http://schemas.openxmlformats.org/officeDocument/2006/relationships/hyperlink" Target="https://dispatchtribunal.com/?p=2515014" TargetMode="External" /><Relationship Id="rId18" Type="http://schemas.openxmlformats.org/officeDocument/2006/relationships/hyperlink" Target="https://baseballnewssource.com/?p=3158071" TargetMode="External" /><Relationship Id="rId19" Type="http://schemas.openxmlformats.org/officeDocument/2006/relationships/hyperlink" Target="http://pbs.twimg.com/profile_images/433324818658623488/hxhCoePy_normal.jpeg" TargetMode="External" /><Relationship Id="rId20" Type="http://schemas.openxmlformats.org/officeDocument/2006/relationships/hyperlink" Target="http://pbs.twimg.com/profile_images/1060158056170954752/XDmPUkro_normal.jpg" TargetMode="External" /><Relationship Id="rId21" Type="http://schemas.openxmlformats.org/officeDocument/2006/relationships/hyperlink" Target="http://pbs.twimg.com/profile_images/1060158056170954752/XDmPUkro_normal.jpg" TargetMode="External" /><Relationship Id="rId22" Type="http://schemas.openxmlformats.org/officeDocument/2006/relationships/hyperlink" Target="http://pbs.twimg.com/profile_images/888131487710588928/TxnNBLKZ_normal.jpg" TargetMode="External" /><Relationship Id="rId23" Type="http://schemas.openxmlformats.org/officeDocument/2006/relationships/hyperlink" Target="http://pbs.twimg.com/profile_images/487406679001026560/pubQUS9Z_normal.jpeg" TargetMode="External" /><Relationship Id="rId24" Type="http://schemas.openxmlformats.org/officeDocument/2006/relationships/hyperlink" Target="http://pbs.twimg.com/profile_images/828754065706274816/bcfoORRd_normal.jpg" TargetMode="External" /><Relationship Id="rId25" Type="http://schemas.openxmlformats.org/officeDocument/2006/relationships/hyperlink" Target="http://pbs.twimg.com/profile_images/849428984488185857/i3dIvJVS_normal.jpg" TargetMode="External" /><Relationship Id="rId26" Type="http://schemas.openxmlformats.org/officeDocument/2006/relationships/hyperlink" Target="http://pbs.twimg.com/profile_images/966766832458674176/9rnz8MMA_normal.jpg" TargetMode="External" /><Relationship Id="rId27" Type="http://schemas.openxmlformats.org/officeDocument/2006/relationships/hyperlink" Target="http://pbs.twimg.com/profile_images/852935198387732480/RZ-jnMw__normal.jpg" TargetMode="External" /><Relationship Id="rId28" Type="http://schemas.openxmlformats.org/officeDocument/2006/relationships/hyperlink" Target="http://pbs.twimg.com/profile_images/852935198387732480/RZ-jnMw__normal.jpg" TargetMode="External" /><Relationship Id="rId29" Type="http://schemas.openxmlformats.org/officeDocument/2006/relationships/hyperlink" Target="http://abs.twimg.com/sticky/default_profile_images/default_profile_normal.png" TargetMode="External" /><Relationship Id="rId30" Type="http://schemas.openxmlformats.org/officeDocument/2006/relationships/hyperlink" Target="http://pbs.twimg.com/profile_images/887064077482065920/iIK7OfFQ_normal.jpg" TargetMode="External" /><Relationship Id="rId31" Type="http://schemas.openxmlformats.org/officeDocument/2006/relationships/hyperlink" Target="http://pbs.twimg.com/profile_images/887064077482065920/iIK7OfFQ_normal.jpg" TargetMode="External" /><Relationship Id="rId32" Type="http://schemas.openxmlformats.org/officeDocument/2006/relationships/hyperlink" Target="http://pbs.twimg.com/profile_images/966007162500562945/JE8dLxj__normal.jpg" TargetMode="External" /><Relationship Id="rId33" Type="http://schemas.openxmlformats.org/officeDocument/2006/relationships/hyperlink" Target="http://pbs.twimg.com/profile_images/949405284031610880/kvSoG2ED_normal.jpg" TargetMode="External" /><Relationship Id="rId34" Type="http://schemas.openxmlformats.org/officeDocument/2006/relationships/hyperlink" Target="http://pbs.twimg.com/profile_images/901201131174363137/f5XejW6W_normal.jpg" TargetMode="External" /><Relationship Id="rId35" Type="http://schemas.openxmlformats.org/officeDocument/2006/relationships/hyperlink" Target="http://pbs.twimg.com/profile_images/901201131174363137/f5XejW6W_normal.jpg" TargetMode="External" /><Relationship Id="rId36" Type="http://schemas.openxmlformats.org/officeDocument/2006/relationships/hyperlink" Target="http://pbs.twimg.com/profile_images/950447991495606272/ru9vq2m9_normal.jpg" TargetMode="External" /><Relationship Id="rId37" Type="http://schemas.openxmlformats.org/officeDocument/2006/relationships/hyperlink" Target="https://twitter.com/#!/dailypoliticaln/status/1083368059669237760" TargetMode="External" /><Relationship Id="rId38" Type="http://schemas.openxmlformats.org/officeDocument/2006/relationships/hyperlink" Target="https://twitter.com/#!/anadiobioma/status/1083382967546695680" TargetMode="External" /><Relationship Id="rId39" Type="http://schemas.openxmlformats.org/officeDocument/2006/relationships/hyperlink" Target="https://twitter.com/#!/anadiobioma/status/1083386988013641728" TargetMode="External" /><Relationship Id="rId40" Type="http://schemas.openxmlformats.org/officeDocument/2006/relationships/hyperlink" Target="https://twitter.com/#!/weekherald/status/1084538722278952960" TargetMode="External" /><Relationship Id="rId41" Type="http://schemas.openxmlformats.org/officeDocument/2006/relationships/hyperlink" Target="https://twitter.com/#!/confcalltran/status/1084927527058108416" TargetMode="External" /><Relationship Id="rId42" Type="http://schemas.openxmlformats.org/officeDocument/2006/relationships/hyperlink" Target="https://twitter.com/#!/chaffeybreeze/status/1085381346653016064" TargetMode="External" /><Relationship Id="rId43" Type="http://schemas.openxmlformats.org/officeDocument/2006/relationships/hyperlink" Target="https://twitter.com/#!/themarketsdaily/status/1086821925140291585" TargetMode="External" /><Relationship Id="rId44" Type="http://schemas.openxmlformats.org/officeDocument/2006/relationships/hyperlink" Target="https://twitter.com/#!/macondailynews/status/1086824220603174915" TargetMode="External" /><Relationship Id="rId45" Type="http://schemas.openxmlformats.org/officeDocument/2006/relationships/hyperlink" Target="https://twitter.com/#!/transcriptdaily/status/1083726598866722816" TargetMode="External" /><Relationship Id="rId46" Type="http://schemas.openxmlformats.org/officeDocument/2006/relationships/hyperlink" Target="https://twitter.com/#!/transcriptdaily/status/1087053898165207042" TargetMode="External" /><Relationship Id="rId47" Type="http://schemas.openxmlformats.org/officeDocument/2006/relationships/hyperlink" Target="https://twitter.com/#!/dakotafinancial/status/1087258603759775744" TargetMode="External" /><Relationship Id="rId48" Type="http://schemas.openxmlformats.org/officeDocument/2006/relationships/hyperlink" Target="https://twitter.com/#!/stocknewstimes/status/1084539365236396032" TargetMode="External" /><Relationship Id="rId49" Type="http://schemas.openxmlformats.org/officeDocument/2006/relationships/hyperlink" Target="https://twitter.com/#!/stocknewstimes/status/1087258783573782529" TargetMode="External" /><Relationship Id="rId50" Type="http://schemas.openxmlformats.org/officeDocument/2006/relationships/hyperlink" Target="https://twitter.com/#!/enterpriseleade/status/1087614926905065473" TargetMode="External" /><Relationship Id="rId51" Type="http://schemas.openxmlformats.org/officeDocument/2006/relationships/hyperlink" Target="https://twitter.com/#!/registrarjourn/status/1087614931032334337" TargetMode="External" /><Relationship Id="rId52" Type="http://schemas.openxmlformats.org/officeDocument/2006/relationships/hyperlink" Target="https://twitter.com/#!/dispatchtribune/status/1083336028788805632" TargetMode="External" /><Relationship Id="rId53" Type="http://schemas.openxmlformats.org/officeDocument/2006/relationships/hyperlink" Target="https://twitter.com/#!/dispatchtribune/status/1087615021398532096" TargetMode="External" /><Relationship Id="rId54" Type="http://schemas.openxmlformats.org/officeDocument/2006/relationships/hyperlink" Target="https://twitter.com/#!/bbnsnews/status/1087820043642175488" TargetMode="External" /><Relationship Id="rId55" Type="http://schemas.openxmlformats.org/officeDocument/2006/relationships/comments" Target="../comments1.xml" /><Relationship Id="rId56" Type="http://schemas.openxmlformats.org/officeDocument/2006/relationships/vmlDrawing" Target="../drawings/vmlDrawing1.vml" /><Relationship Id="rId57" Type="http://schemas.openxmlformats.org/officeDocument/2006/relationships/table" Target="../tables/table1.xml" /><Relationship Id="rId58"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hyperlink" Target="https://www.dailypolitical.com/?p=2635792" TargetMode="External" /><Relationship Id="rId2" Type="http://schemas.openxmlformats.org/officeDocument/2006/relationships/hyperlink" Target="https://drumup.io/s/Bd4zLm" TargetMode="External" /><Relationship Id="rId3" Type="http://schemas.openxmlformats.org/officeDocument/2006/relationships/hyperlink" Target="https://www.dailypolitical.com/2019/01/10/head-to-head-analysis-arc-group-arck-and-xcel-brands-xelb.html" TargetMode="External" /><Relationship Id="rId4" Type="http://schemas.openxmlformats.org/officeDocument/2006/relationships/hyperlink" Target="https://weekherald.com/?p=3434492" TargetMode="External" /><Relationship Id="rId5" Type="http://schemas.openxmlformats.org/officeDocument/2006/relationships/hyperlink" Target="http://www.conferencecalltranscripts.org/4/summary2/?id=5663369" TargetMode="External" /><Relationship Id="rId6" Type="http://schemas.openxmlformats.org/officeDocument/2006/relationships/hyperlink" Target="https://chaffeybreeze.com/?p=2260871" TargetMode="External" /><Relationship Id="rId7" Type="http://schemas.openxmlformats.org/officeDocument/2006/relationships/hyperlink" Target="http://www.themarketsdaily.com/?p=2179648" TargetMode="External" /><Relationship Id="rId8" Type="http://schemas.openxmlformats.org/officeDocument/2006/relationships/hyperlink" Target="https://macondaily.com/?p=1474996" TargetMode="External" /><Relationship Id="rId9" Type="http://schemas.openxmlformats.org/officeDocument/2006/relationships/hyperlink" Target="http://www.transcriptdaily.com/?p=2056136" TargetMode="External" /><Relationship Id="rId10" Type="http://schemas.openxmlformats.org/officeDocument/2006/relationships/hyperlink" Target="http://www.transcriptdaily.com/?p=2076428" TargetMode="External" /><Relationship Id="rId11" Type="http://schemas.openxmlformats.org/officeDocument/2006/relationships/hyperlink" Target="https://dakotafinancialnews.com/?p=777866" TargetMode="External" /><Relationship Id="rId12" Type="http://schemas.openxmlformats.org/officeDocument/2006/relationships/hyperlink" Target="https://www.thestockobserver.com/2019/01/13/zacks-xcel-brands-inc-xelb-given-average-recommendation-of-strong-buy-by-brokerages.html" TargetMode="External" /><Relationship Id="rId13" Type="http://schemas.openxmlformats.org/officeDocument/2006/relationships/hyperlink" Target="https://www.thestockobserver.com/2019/01/21/xcel-brands-xelb-downgraded-to-hold-at-zacks-investment-research.html" TargetMode="External" /><Relationship Id="rId14" Type="http://schemas.openxmlformats.org/officeDocument/2006/relationships/hyperlink" Target="https://theenterpriseleader.com/?p=1823032" TargetMode="External" /><Relationship Id="rId15" Type="http://schemas.openxmlformats.org/officeDocument/2006/relationships/hyperlink" Target="http://theenterpriseleader.com/?p=1823032" TargetMode="External" /><Relationship Id="rId16" Type="http://schemas.openxmlformats.org/officeDocument/2006/relationships/hyperlink" Target="https://dispatchtribunal.com/?p=2490299" TargetMode="External" /><Relationship Id="rId17" Type="http://schemas.openxmlformats.org/officeDocument/2006/relationships/hyperlink" Target="https://dispatchtribunal.com/?p=2515014" TargetMode="External" /><Relationship Id="rId18" Type="http://schemas.openxmlformats.org/officeDocument/2006/relationships/hyperlink" Target="https://baseballnewssource.com/?p=3158071" TargetMode="External" /><Relationship Id="rId19" Type="http://schemas.openxmlformats.org/officeDocument/2006/relationships/hyperlink" Target="http://pbs.twimg.com/profile_images/433324818658623488/hxhCoePy_normal.jpeg" TargetMode="External" /><Relationship Id="rId20" Type="http://schemas.openxmlformats.org/officeDocument/2006/relationships/hyperlink" Target="http://pbs.twimg.com/profile_images/1060158056170954752/XDmPUkro_normal.jpg" TargetMode="External" /><Relationship Id="rId21" Type="http://schemas.openxmlformats.org/officeDocument/2006/relationships/hyperlink" Target="http://pbs.twimg.com/profile_images/1060158056170954752/XDmPUkro_normal.jpg" TargetMode="External" /><Relationship Id="rId22" Type="http://schemas.openxmlformats.org/officeDocument/2006/relationships/hyperlink" Target="http://pbs.twimg.com/profile_images/888131487710588928/TxnNBLKZ_normal.jpg" TargetMode="External" /><Relationship Id="rId23" Type="http://schemas.openxmlformats.org/officeDocument/2006/relationships/hyperlink" Target="http://pbs.twimg.com/profile_images/487406679001026560/pubQUS9Z_normal.jpeg" TargetMode="External" /><Relationship Id="rId24" Type="http://schemas.openxmlformats.org/officeDocument/2006/relationships/hyperlink" Target="http://pbs.twimg.com/profile_images/828754065706274816/bcfoORRd_normal.jpg" TargetMode="External" /><Relationship Id="rId25" Type="http://schemas.openxmlformats.org/officeDocument/2006/relationships/hyperlink" Target="http://pbs.twimg.com/profile_images/849428984488185857/i3dIvJVS_normal.jpg" TargetMode="External" /><Relationship Id="rId26" Type="http://schemas.openxmlformats.org/officeDocument/2006/relationships/hyperlink" Target="http://pbs.twimg.com/profile_images/966766832458674176/9rnz8MMA_normal.jpg" TargetMode="External" /><Relationship Id="rId27" Type="http://schemas.openxmlformats.org/officeDocument/2006/relationships/hyperlink" Target="http://pbs.twimg.com/profile_images/852935198387732480/RZ-jnMw__normal.jpg" TargetMode="External" /><Relationship Id="rId28" Type="http://schemas.openxmlformats.org/officeDocument/2006/relationships/hyperlink" Target="http://pbs.twimg.com/profile_images/852935198387732480/RZ-jnMw__normal.jpg" TargetMode="External" /><Relationship Id="rId29" Type="http://schemas.openxmlformats.org/officeDocument/2006/relationships/hyperlink" Target="http://abs.twimg.com/sticky/default_profile_images/default_profile_normal.png" TargetMode="External" /><Relationship Id="rId30" Type="http://schemas.openxmlformats.org/officeDocument/2006/relationships/hyperlink" Target="http://pbs.twimg.com/profile_images/887064077482065920/iIK7OfFQ_normal.jpg" TargetMode="External" /><Relationship Id="rId31" Type="http://schemas.openxmlformats.org/officeDocument/2006/relationships/hyperlink" Target="http://pbs.twimg.com/profile_images/887064077482065920/iIK7OfFQ_normal.jpg" TargetMode="External" /><Relationship Id="rId32" Type="http://schemas.openxmlformats.org/officeDocument/2006/relationships/hyperlink" Target="http://pbs.twimg.com/profile_images/966007162500562945/JE8dLxj__normal.jpg" TargetMode="External" /><Relationship Id="rId33" Type="http://schemas.openxmlformats.org/officeDocument/2006/relationships/hyperlink" Target="http://pbs.twimg.com/profile_images/949405284031610880/kvSoG2ED_normal.jpg" TargetMode="External" /><Relationship Id="rId34" Type="http://schemas.openxmlformats.org/officeDocument/2006/relationships/hyperlink" Target="http://pbs.twimg.com/profile_images/901201131174363137/f5XejW6W_normal.jpg" TargetMode="External" /><Relationship Id="rId35" Type="http://schemas.openxmlformats.org/officeDocument/2006/relationships/hyperlink" Target="http://pbs.twimg.com/profile_images/901201131174363137/f5XejW6W_normal.jpg" TargetMode="External" /><Relationship Id="rId36" Type="http://schemas.openxmlformats.org/officeDocument/2006/relationships/hyperlink" Target="http://pbs.twimg.com/profile_images/950447991495606272/ru9vq2m9_normal.jpg" TargetMode="External" /><Relationship Id="rId37" Type="http://schemas.openxmlformats.org/officeDocument/2006/relationships/hyperlink" Target="https://twitter.com/#!/dailypoliticaln/status/1083368059669237760" TargetMode="External" /><Relationship Id="rId38" Type="http://schemas.openxmlformats.org/officeDocument/2006/relationships/hyperlink" Target="https://twitter.com/#!/anadiobioma/status/1083382967546695680" TargetMode="External" /><Relationship Id="rId39" Type="http://schemas.openxmlformats.org/officeDocument/2006/relationships/hyperlink" Target="https://twitter.com/#!/anadiobioma/status/1083386988013641728" TargetMode="External" /><Relationship Id="rId40" Type="http://schemas.openxmlformats.org/officeDocument/2006/relationships/hyperlink" Target="https://twitter.com/#!/weekherald/status/1084538722278952960" TargetMode="External" /><Relationship Id="rId41" Type="http://schemas.openxmlformats.org/officeDocument/2006/relationships/hyperlink" Target="https://twitter.com/#!/confcalltran/status/1084927527058108416" TargetMode="External" /><Relationship Id="rId42" Type="http://schemas.openxmlformats.org/officeDocument/2006/relationships/hyperlink" Target="https://twitter.com/#!/chaffeybreeze/status/1085381346653016064" TargetMode="External" /><Relationship Id="rId43" Type="http://schemas.openxmlformats.org/officeDocument/2006/relationships/hyperlink" Target="https://twitter.com/#!/themarketsdaily/status/1086821925140291585" TargetMode="External" /><Relationship Id="rId44" Type="http://schemas.openxmlformats.org/officeDocument/2006/relationships/hyperlink" Target="https://twitter.com/#!/macondailynews/status/1086824220603174915" TargetMode="External" /><Relationship Id="rId45" Type="http://schemas.openxmlformats.org/officeDocument/2006/relationships/hyperlink" Target="https://twitter.com/#!/transcriptdaily/status/1083726598866722816" TargetMode="External" /><Relationship Id="rId46" Type="http://schemas.openxmlformats.org/officeDocument/2006/relationships/hyperlink" Target="https://twitter.com/#!/transcriptdaily/status/1087053898165207042" TargetMode="External" /><Relationship Id="rId47" Type="http://schemas.openxmlformats.org/officeDocument/2006/relationships/hyperlink" Target="https://twitter.com/#!/dakotafinancial/status/1087258603759775744" TargetMode="External" /><Relationship Id="rId48" Type="http://schemas.openxmlformats.org/officeDocument/2006/relationships/hyperlink" Target="https://twitter.com/#!/stocknewstimes/status/1084539365236396032" TargetMode="External" /><Relationship Id="rId49" Type="http://schemas.openxmlformats.org/officeDocument/2006/relationships/hyperlink" Target="https://twitter.com/#!/stocknewstimes/status/1087258783573782529" TargetMode="External" /><Relationship Id="rId50" Type="http://schemas.openxmlformats.org/officeDocument/2006/relationships/hyperlink" Target="https://twitter.com/#!/enterpriseleade/status/1087614926905065473" TargetMode="External" /><Relationship Id="rId51" Type="http://schemas.openxmlformats.org/officeDocument/2006/relationships/hyperlink" Target="https://twitter.com/#!/registrarjourn/status/1087614931032334337" TargetMode="External" /><Relationship Id="rId52" Type="http://schemas.openxmlformats.org/officeDocument/2006/relationships/hyperlink" Target="https://twitter.com/#!/dispatchtribune/status/1083336028788805632" TargetMode="External" /><Relationship Id="rId53" Type="http://schemas.openxmlformats.org/officeDocument/2006/relationships/hyperlink" Target="https://twitter.com/#!/dispatchtribune/status/1087615021398532096" TargetMode="External" /><Relationship Id="rId54" Type="http://schemas.openxmlformats.org/officeDocument/2006/relationships/hyperlink" Target="https://twitter.com/#!/bbnsnews/status/1087820043642175488" TargetMode="External" /><Relationship Id="rId55" Type="http://schemas.openxmlformats.org/officeDocument/2006/relationships/comments" Target="../comments12.xml" /><Relationship Id="rId56" Type="http://schemas.openxmlformats.org/officeDocument/2006/relationships/vmlDrawing" Target="../drawings/vmlDrawing6.vml" /><Relationship Id="rId57" Type="http://schemas.openxmlformats.org/officeDocument/2006/relationships/table" Target="../tables/table22.xml" /><Relationship Id="rId58"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weekherald.com/" TargetMode="External" /><Relationship Id="rId2" Type="http://schemas.openxmlformats.org/officeDocument/2006/relationships/hyperlink" Target="https://t.co/0eNDSZanco" TargetMode="External" /><Relationship Id="rId3" Type="http://schemas.openxmlformats.org/officeDocument/2006/relationships/hyperlink" Target="https://t.co/HykOPvGm9F" TargetMode="External" /><Relationship Id="rId4" Type="http://schemas.openxmlformats.org/officeDocument/2006/relationships/hyperlink" Target="https://t.co/cwcnF1c1TK" TargetMode="External" /><Relationship Id="rId5" Type="http://schemas.openxmlformats.org/officeDocument/2006/relationships/hyperlink" Target="https://t.co/58WdUxUP2J" TargetMode="External" /><Relationship Id="rId6" Type="http://schemas.openxmlformats.org/officeDocument/2006/relationships/hyperlink" Target="https://t.co/er69YCEGww" TargetMode="External" /><Relationship Id="rId7" Type="http://schemas.openxmlformats.org/officeDocument/2006/relationships/hyperlink" Target="https://t.co/G8Jdcwonba" TargetMode="External" /><Relationship Id="rId8" Type="http://schemas.openxmlformats.org/officeDocument/2006/relationships/hyperlink" Target="https://pbs.twimg.com/profile_banners/985935722/1526206777" TargetMode="External" /><Relationship Id="rId9" Type="http://schemas.openxmlformats.org/officeDocument/2006/relationships/hyperlink" Target="https://pbs.twimg.com/profile_banners/888125801903775744/1500582045" TargetMode="External" /><Relationship Id="rId10" Type="http://schemas.openxmlformats.org/officeDocument/2006/relationships/hyperlink" Target="https://pbs.twimg.com/profile_banners/828747327208841216/1486485612" TargetMode="External" /><Relationship Id="rId11" Type="http://schemas.openxmlformats.org/officeDocument/2006/relationships/hyperlink" Target="https://pbs.twimg.com/profile_banners/849417718642159616/1491354964" TargetMode="External" /><Relationship Id="rId12" Type="http://schemas.openxmlformats.org/officeDocument/2006/relationships/hyperlink" Target="https://pbs.twimg.com/profile_banners/966765919191142401/1519330134" TargetMode="External" /><Relationship Id="rId13" Type="http://schemas.openxmlformats.org/officeDocument/2006/relationships/hyperlink" Target="https://pbs.twimg.com/profile_banners/852931863547084801/1492190555" TargetMode="External" /><Relationship Id="rId14" Type="http://schemas.openxmlformats.org/officeDocument/2006/relationships/hyperlink" Target="https://pbs.twimg.com/profile_banners/887052326472740866/1500327595" TargetMode="External" /><Relationship Id="rId15" Type="http://schemas.openxmlformats.org/officeDocument/2006/relationships/hyperlink" Target="https://pbs.twimg.com/profile_banners/966006214818697218/1519149054" TargetMode="External" /><Relationship Id="rId16" Type="http://schemas.openxmlformats.org/officeDocument/2006/relationships/hyperlink" Target="https://pbs.twimg.com/profile_banners/949377493915590662/1515190881" TargetMode="External" /><Relationship Id="rId17" Type="http://schemas.openxmlformats.org/officeDocument/2006/relationships/hyperlink" Target="https://pbs.twimg.com/profile_banners/901194327925325825/1503698104" TargetMode="External" /><Relationship Id="rId18" Type="http://schemas.openxmlformats.org/officeDocument/2006/relationships/hyperlink" Target="https://pbs.twimg.com/profile_banners/950445812282265610/1515440070" TargetMode="External" /><Relationship Id="rId19" Type="http://schemas.openxmlformats.org/officeDocument/2006/relationships/hyperlink" Target="http://abs.twimg.com/images/themes/theme1/bg.png" TargetMode="External" /><Relationship Id="rId20" Type="http://schemas.openxmlformats.org/officeDocument/2006/relationships/hyperlink" Target="http://abs.twimg.com/images/themes/theme1/bg.png" TargetMode="External" /><Relationship Id="rId21" Type="http://schemas.openxmlformats.org/officeDocument/2006/relationships/hyperlink" Target="http://abs.twimg.com/images/themes/theme1/bg.png" TargetMode="External" /><Relationship Id="rId22" Type="http://schemas.openxmlformats.org/officeDocument/2006/relationships/hyperlink" Target="http://abs.twimg.com/images/themes/theme1/bg.png" TargetMode="External" /><Relationship Id="rId23" Type="http://schemas.openxmlformats.org/officeDocument/2006/relationships/hyperlink" Target="http://abs.twimg.com/images/themes/theme1/bg.png" TargetMode="External" /><Relationship Id="rId24" Type="http://schemas.openxmlformats.org/officeDocument/2006/relationships/hyperlink" Target="http://abs.twimg.com/images/themes/theme1/bg.png" TargetMode="External" /><Relationship Id="rId25" Type="http://schemas.openxmlformats.org/officeDocument/2006/relationships/hyperlink" Target="http://abs.twimg.com/images/themes/theme1/bg.png" TargetMode="External" /><Relationship Id="rId26" Type="http://schemas.openxmlformats.org/officeDocument/2006/relationships/hyperlink" Target="http://abs.twimg.com/images/themes/theme1/bg.png" TargetMode="External" /><Relationship Id="rId27" Type="http://schemas.openxmlformats.org/officeDocument/2006/relationships/hyperlink" Target="http://abs.twimg.com/images/themes/theme1/bg.png" TargetMode="External" /><Relationship Id="rId28" Type="http://schemas.openxmlformats.org/officeDocument/2006/relationships/hyperlink" Target="http://pbs.twimg.com/profile_images/433324818658623488/hxhCoePy_normal.jpeg" TargetMode="External" /><Relationship Id="rId29" Type="http://schemas.openxmlformats.org/officeDocument/2006/relationships/hyperlink" Target="http://pbs.twimg.com/profile_images/1060158056170954752/XDmPUkro_normal.jpg" TargetMode="External" /><Relationship Id="rId30" Type="http://schemas.openxmlformats.org/officeDocument/2006/relationships/hyperlink" Target="http://pbs.twimg.com/profile_images/888131487710588928/TxnNBLKZ_normal.jpg" TargetMode="External" /><Relationship Id="rId31" Type="http://schemas.openxmlformats.org/officeDocument/2006/relationships/hyperlink" Target="http://pbs.twimg.com/profile_images/487406679001026560/pubQUS9Z_normal.jpeg" TargetMode="External" /><Relationship Id="rId32" Type="http://schemas.openxmlformats.org/officeDocument/2006/relationships/hyperlink" Target="http://pbs.twimg.com/profile_images/828754065706274816/bcfoORRd_normal.jpg" TargetMode="External" /><Relationship Id="rId33" Type="http://schemas.openxmlformats.org/officeDocument/2006/relationships/hyperlink" Target="http://pbs.twimg.com/profile_images/849428984488185857/i3dIvJVS_normal.jpg" TargetMode="External" /><Relationship Id="rId34" Type="http://schemas.openxmlformats.org/officeDocument/2006/relationships/hyperlink" Target="http://pbs.twimg.com/profile_images/966766832458674176/9rnz8MMA_normal.jpg" TargetMode="External" /><Relationship Id="rId35" Type="http://schemas.openxmlformats.org/officeDocument/2006/relationships/hyperlink" Target="http://pbs.twimg.com/profile_images/852935198387732480/RZ-jnMw__normal.jpg" TargetMode="External" /><Relationship Id="rId36" Type="http://schemas.openxmlformats.org/officeDocument/2006/relationships/hyperlink" Target="http://abs.twimg.com/sticky/default_profile_images/default_profile_normal.png" TargetMode="External" /><Relationship Id="rId37" Type="http://schemas.openxmlformats.org/officeDocument/2006/relationships/hyperlink" Target="http://pbs.twimg.com/profile_images/887064077482065920/iIK7OfFQ_normal.jpg" TargetMode="External" /><Relationship Id="rId38" Type="http://schemas.openxmlformats.org/officeDocument/2006/relationships/hyperlink" Target="http://pbs.twimg.com/profile_images/966007162500562945/JE8dLxj__normal.jpg" TargetMode="External" /><Relationship Id="rId39" Type="http://schemas.openxmlformats.org/officeDocument/2006/relationships/hyperlink" Target="http://pbs.twimg.com/profile_images/949405284031610880/kvSoG2ED_normal.jpg" TargetMode="External" /><Relationship Id="rId40" Type="http://schemas.openxmlformats.org/officeDocument/2006/relationships/hyperlink" Target="http://pbs.twimg.com/profile_images/901201131174363137/f5XejW6W_normal.jpg" TargetMode="External" /><Relationship Id="rId41" Type="http://schemas.openxmlformats.org/officeDocument/2006/relationships/hyperlink" Target="http://pbs.twimg.com/profile_images/950447991495606272/ru9vq2m9_normal.jpg" TargetMode="External" /><Relationship Id="rId42" Type="http://schemas.openxmlformats.org/officeDocument/2006/relationships/hyperlink" Target="https://twitter.com/dailypoliticaln" TargetMode="External" /><Relationship Id="rId43" Type="http://schemas.openxmlformats.org/officeDocument/2006/relationships/hyperlink" Target="https://twitter.com/anadiobioma" TargetMode="External" /><Relationship Id="rId44" Type="http://schemas.openxmlformats.org/officeDocument/2006/relationships/hyperlink" Target="https://twitter.com/weekherald" TargetMode="External" /><Relationship Id="rId45" Type="http://schemas.openxmlformats.org/officeDocument/2006/relationships/hyperlink" Target="https://twitter.com/confcalltran" TargetMode="External" /><Relationship Id="rId46" Type="http://schemas.openxmlformats.org/officeDocument/2006/relationships/hyperlink" Target="https://twitter.com/chaffeybreeze" TargetMode="External" /><Relationship Id="rId47" Type="http://schemas.openxmlformats.org/officeDocument/2006/relationships/hyperlink" Target="https://twitter.com/themarketsdaily" TargetMode="External" /><Relationship Id="rId48" Type="http://schemas.openxmlformats.org/officeDocument/2006/relationships/hyperlink" Target="https://twitter.com/macondailynews" TargetMode="External" /><Relationship Id="rId49" Type="http://schemas.openxmlformats.org/officeDocument/2006/relationships/hyperlink" Target="https://twitter.com/transcriptdaily" TargetMode="External" /><Relationship Id="rId50" Type="http://schemas.openxmlformats.org/officeDocument/2006/relationships/hyperlink" Target="https://twitter.com/dakotafinancial" TargetMode="External" /><Relationship Id="rId51" Type="http://schemas.openxmlformats.org/officeDocument/2006/relationships/hyperlink" Target="https://twitter.com/stocknewstimes" TargetMode="External" /><Relationship Id="rId52" Type="http://schemas.openxmlformats.org/officeDocument/2006/relationships/hyperlink" Target="https://twitter.com/enterpriseleade" TargetMode="External" /><Relationship Id="rId53" Type="http://schemas.openxmlformats.org/officeDocument/2006/relationships/hyperlink" Target="https://twitter.com/registrarjourn" TargetMode="External" /><Relationship Id="rId54" Type="http://schemas.openxmlformats.org/officeDocument/2006/relationships/hyperlink" Target="https://twitter.com/dispatchtribune" TargetMode="External" /><Relationship Id="rId55" Type="http://schemas.openxmlformats.org/officeDocument/2006/relationships/hyperlink" Target="https://twitter.com/bbnsnews" TargetMode="External" /><Relationship Id="rId56" Type="http://schemas.openxmlformats.org/officeDocument/2006/relationships/comments" Target="../comments2.xml" /><Relationship Id="rId57" Type="http://schemas.openxmlformats.org/officeDocument/2006/relationships/vmlDrawing" Target="../drawings/vmlDrawing2.vml" /><Relationship Id="rId58" Type="http://schemas.openxmlformats.org/officeDocument/2006/relationships/table" Target="../tables/table2.xml" /><Relationship Id="rId59"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s://baseballnewssource.com/?p=3158071" TargetMode="External" /><Relationship Id="rId2" Type="http://schemas.openxmlformats.org/officeDocument/2006/relationships/hyperlink" Target="https://dispatchtribunal.com/?p=2515014" TargetMode="External" /><Relationship Id="rId3" Type="http://schemas.openxmlformats.org/officeDocument/2006/relationships/hyperlink" Target="https://dispatchtribunal.com/?p=2490299" TargetMode="External" /><Relationship Id="rId4" Type="http://schemas.openxmlformats.org/officeDocument/2006/relationships/hyperlink" Target="http://theenterpriseleader.com/?p=1823032" TargetMode="External" /><Relationship Id="rId5" Type="http://schemas.openxmlformats.org/officeDocument/2006/relationships/hyperlink" Target="https://theenterpriseleader.com/?p=1823032" TargetMode="External" /><Relationship Id="rId6" Type="http://schemas.openxmlformats.org/officeDocument/2006/relationships/hyperlink" Target="https://www.thestockobserver.com/2019/01/21/xcel-brands-xelb-downgraded-to-hold-at-zacks-investment-research.html" TargetMode="External" /><Relationship Id="rId7" Type="http://schemas.openxmlformats.org/officeDocument/2006/relationships/hyperlink" Target="https://www.thestockobserver.com/2019/01/13/zacks-xcel-brands-inc-xelb-given-average-recommendation-of-strong-buy-by-brokerages.html" TargetMode="External" /><Relationship Id="rId8" Type="http://schemas.openxmlformats.org/officeDocument/2006/relationships/hyperlink" Target="https://dakotafinancialnews.com/?p=777866" TargetMode="External" /><Relationship Id="rId9" Type="http://schemas.openxmlformats.org/officeDocument/2006/relationships/hyperlink" Target="http://www.transcriptdaily.com/?p=2076428" TargetMode="External" /><Relationship Id="rId10" Type="http://schemas.openxmlformats.org/officeDocument/2006/relationships/hyperlink" Target="http://www.transcriptdaily.com/?p=2056136" TargetMode="External" /><Relationship Id="rId11" Type="http://schemas.openxmlformats.org/officeDocument/2006/relationships/hyperlink" Target="https://www.dailypolitical.com/?p=2635792" TargetMode="External" /><Relationship Id="rId12" Type="http://schemas.openxmlformats.org/officeDocument/2006/relationships/hyperlink" Target="https://www.dailypolitical.com/2019/01/10/head-to-head-analysis-arc-group-arck-and-xcel-brands-xelb.html" TargetMode="External" /><Relationship Id="rId13" Type="http://schemas.openxmlformats.org/officeDocument/2006/relationships/hyperlink" Target="https://drumup.io/s/Bd4zLm" TargetMode="External" /><Relationship Id="rId14" Type="http://schemas.openxmlformats.org/officeDocument/2006/relationships/hyperlink" Target="https://weekherald.com/?p=3434492" TargetMode="External" /><Relationship Id="rId15" Type="http://schemas.openxmlformats.org/officeDocument/2006/relationships/hyperlink" Target="http://www.conferencecalltranscripts.org/4/summary2/?id=5663369" TargetMode="External" /><Relationship Id="rId16" Type="http://schemas.openxmlformats.org/officeDocument/2006/relationships/hyperlink" Target="https://chaffeybreeze.com/?p=2260871" TargetMode="External" /><Relationship Id="rId17" Type="http://schemas.openxmlformats.org/officeDocument/2006/relationships/hyperlink" Target="http://www.themarketsdaily.com/?p=2179648" TargetMode="External" /><Relationship Id="rId18" Type="http://schemas.openxmlformats.org/officeDocument/2006/relationships/hyperlink" Target="https://macondaily.com/?p=1474996" TargetMode="External" /><Relationship Id="rId19" Type="http://schemas.openxmlformats.org/officeDocument/2006/relationships/hyperlink" Target="http://www.transcriptdaily.com/?p=2076428" TargetMode="External" /><Relationship Id="rId20" Type="http://schemas.openxmlformats.org/officeDocument/2006/relationships/hyperlink" Target="http://www.transcriptdaily.com/?p=2056136" TargetMode="External" /><Relationship Id="rId21" Type="http://schemas.openxmlformats.org/officeDocument/2006/relationships/table" Target="../tables/table12.xml" /><Relationship Id="rId22" Type="http://schemas.openxmlformats.org/officeDocument/2006/relationships/table" Target="../tables/table13.xml" /><Relationship Id="rId23" Type="http://schemas.openxmlformats.org/officeDocument/2006/relationships/table" Target="../tables/table14.xml" /><Relationship Id="rId24" Type="http://schemas.openxmlformats.org/officeDocument/2006/relationships/table" Target="../tables/table15.xml" /><Relationship Id="rId25" Type="http://schemas.openxmlformats.org/officeDocument/2006/relationships/table" Target="../tables/table16.xml" /><Relationship Id="rId26" Type="http://schemas.openxmlformats.org/officeDocument/2006/relationships/table" Target="../tables/table17.xml" /><Relationship Id="rId27" Type="http://schemas.openxmlformats.org/officeDocument/2006/relationships/table" Target="../tables/table18.xml" /><Relationship Id="rId28"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8" t="s">
        <v>39</v>
      </c>
      <c r="D1" s="19"/>
      <c r="E1" s="19"/>
      <c r="F1" s="19"/>
      <c r="G1" s="18"/>
      <c r="H1" s="16" t="s">
        <v>43</v>
      </c>
      <c r="I1" s="65"/>
      <c r="J1" s="65"/>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464</v>
      </c>
      <c r="BB2" s="13" t="s">
        <v>468</v>
      </c>
      <c r="BC2" s="13" t="s">
        <v>469</v>
      </c>
      <c r="BD2" s="68" t="s">
        <v>604</v>
      </c>
      <c r="BE2" s="68" t="s">
        <v>605</v>
      </c>
      <c r="BF2" s="68" t="s">
        <v>606</v>
      </c>
      <c r="BG2" s="68" t="s">
        <v>607</v>
      </c>
      <c r="BH2" s="68" t="s">
        <v>608</v>
      </c>
      <c r="BI2" s="68" t="s">
        <v>609</v>
      </c>
      <c r="BJ2" s="68" t="s">
        <v>610</v>
      </c>
      <c r="BK2" s="68" t="s">
        <v>611</v>
      </c>
      <c r="BL2" s="68" t="s">
        <v>612</v>
      </c>
    </row>
    <row r="3" spans="1:64" ht="15" customHeight="1">
      <c r="A3" s="85" t="s">
        <v>212</v>
      </c>
      <c r="B3" s="85" t="s">
        <v>212</v>
      </c>
      <c r="C3" s="53" t="s">
        <v>619</v>
      </c>
      <c r="D3" s="54">
        <v>3</v>
      </c>
      <c r="E3" s="66" t="s">
        <v>132</v>
      </c>
      <c r="F3" s="55">
        <v>35</v>
      </c>
      <c r="G3" s="53"/>
      <c r="H3" s="57"/>
      <c r="I3" s="56"/>
      <c r="J3" s="56"/>
      <c r="K3" s="36" t="s">
        <v>65</v>
      </c>
      <c r="L3" s="62">
        <v>3</v>
      </c>
      <c r="M3" s="62"/>
      <c r="N3" s="63"/>
      <c r="O3" s="86" t="s">
        <v>176</v>
      </c>
      <c r="P3" s="88">
        <v>43475.59777777778</v>
      </c>
      <c r="Q3" s="86" t="s">
        <v>226</v>
      </c>
      <c r="R3" s="90" t="s">
        <v>244</v>
      </c>
      <c r="S3" s="86" t="s">
        <v>262</v>
      </c>
      <c r="T3" s="86"/>
      <c r="U3" s="86"/>
      <c r="V3" s="90" t="s">
        <v>276</v>
      </c>
      <c r="W3" s="88">
        <v>43475.59777777778</v>
      </c>
      <c r="X3" s="90" t="s">
        <v>290</v>
      </c>
      <c r="Y3" s="86"/>
      <c r="Z3" s="86"/>
      <c r="AA3" s="92" t="s">
        <v>308</v>
      </c>
      <c r="AB3" s="86"/>
      <c r="AC3" s="86" t="b">
        <v>0</v>
      </c>
      <c r="AD3" s="86">
        <v>0</v>
      </c>
      <c r="AE3" s="92" t="s">
        <v>326</v>
      </c>
      <c r="AF3" s="86" t="b">
        <v>0</v>
      </c>
      <c r="AG3" s="86" t="s">
        <v>327</v>
      </c>
      <c r="AH3" s="86"/>
      <c r="AI3" s="92" t="s">
        <v>326</v>
      </c>
      <c r="AJ3" s="86" t="b">
        <v>0</v>
      </c>
      <c r="AK3" s="86">
        <v>0</v>
      </c>
      <c r="AL3" s="92" t="s">
        <v>326</v>
      </c>
      <c r="AM3" s="86" t="s">
        <v>329</v>
      </c>
      <c r="AN3" s="86" t="b">
        <v>0</v>
      </c>
      <c r="AO3" s="92" t="s">
        <v>308</v>
      </c>
      <c r="AP3" s="86" t="s">
        <v>176</v>
      </c>
      <c r="AQ3" s="86">
        <v>0</v>
      </c>
      <c r="AR3" s="86">
        <v>0</v>
      </c>
      <c r="AS3" s="86"/>
      <c r="AT3" s="86"/>
      <c r="AU3" s="86"/>
      <c r="AV3" s="86"/>
      <c r="AW3" s="86"/>
      <c r="AX3" s="86"/>
      <c r="AY3" s="86"/>
      <c r="AZ3" s="86"/>
      <c r="BA3">
        <v>1</v>
      </c>
      <c r="BB3" s="86" t="str">
        <f>REPLACE(INDEX(GroupVertices[Group],MATCH(Edges[[#This Row],[Vertex 1]],GroupVertices[Vertex],0)),1,1,"")</f>
        <v>1</v>
      </c>
      <c r="BC3" s="86" t="str">
        <f>REPLACE(INDEX(GroupVertices[Group],MATCH(Edges[[#This Row],[Vertex 2]],GroupVertices[Vertex],0)),1,1,"")</f>
        <v>1</v>
      </c>
      <c r="BD3" s="51">
        <v>0</v>
      </c>
      <c r="BE3" s="52">
        <v>0</v>
      </c>
      <c r="BF3" s="51">
        <v>0</v>
      </c>
      <c r="BG3" s="52">
        <v>0</v>
      </c>
      <c r="BH3" s="51">
        <v>0</v>
      </c>
      <c r="BI3" s="52">
        <v>0</v>
      </c>
      <c r="BJ3" s="51">
        <v>11</v>
      </c>
      <c r="BK3" s="52">
        <v>100</v>
      </c>
      <c r="BL3" s="51">
        <v>11</v>
      </c>
    </row>
    <row r="4" spans="1:64" ht="15" customHeight="1">
      <c r="A4" s="85" t="s">
        <v>213</v>
      </c>
      <c r="B4" s="85" t="s">
        <v>213</v>
      </c>
      <c r="C4" s="53" t="s">
        <v>620</v>
      </c>
      <c r="D4" s="54">
        <v>3</v>
      </c>
      <c r="E4" s="66" t="s">
        <v>136</v>
      </c>
      <c r="F4" s="55">
        <v>35</v>
      </c>
      <c r="G4" s="53"/>
      <c r="H4" s="57"/>
      <c r="I4" s="56"/>
      <c r="J4" s="56"/>
      <c r="K4" s="36" t="s">
        <v>65</v>
      </c>
      <c r="L4" s="84">
        <v>4</v>
      </c>
      <c r="M4" s="84"/>
      <c r="N4" s="63"/>
      <c r="O4" s="87" t="s">
        <v>176</v>
      </c>
      <c r="P4" s="89">
        <v>43475.63891203704</v>
      </c>
      <c r="Q4" s="87" t="s">
        <v>227</v>
      </c>
      <c r="R4" s="91" t="s">
        <v>245</v>
      </c>
      <c r="S4" s="87" t="s">
        <v>263</v>
      </c>
      <c r="T4" s="87"/>
      <c r="U4" s="87"/>
      <c r="V4" s="91" t="s">
        <v>277</v>
      </c>
      <c r="W4" s="89">
        <v>43475.63891203704</v>
      </c>
      <c r="X4" s="91" t="s">
        <v>291</v>
      </c>
      <c r="Y4" s="87"/>
      <c r="Z4" s="87"/>
      <c r="AA4" s="93" t="s">
        <v>309</v>
      </c>
      <c r="AB4" s="87"/>
      <c r="AC4" s="87" t="b">
        <v>0</v>
      </c>
      <c r="AD4" s="87">
        <v>0</v>
      </c>
      <c r="AE4" s="93" t="s">
        <v>326</v>
      </c>
      <c r="AF4" s="87" t="b">
        <v>0</v>
      </c>
      <c r="AG4" s="87" t="s">
        <v>327</v>
      </c>
      <c r="AH4" s="87"/>
      <c r="AI4" s="93" t="s">
        <v>326</v>
      </c>
      <c r="AJ4" s="87" t="b">
        <v>0</v>
      </c>
      <c r="AK4" s="87">
        <v>0</v>
      </c>
      <c r="AL4" s="93" t="s">
        <v>326</v>
      </c>
      <c r="AM4" s="87" t="s">
        <v>263</v>
      </c>
      <c r="AN4" s="87" t="b">
        <v>0</v>
      </c>
      <c r="AO4" s="93" t="s">
        <v>309</v>
      </c>
      <c r="AP4" s="87" t="s">
        <v>176</v>
      </c>
      <c r="AQ4" s="87">
        <v>0</v>
      </c>
      <c r="AR4" s="87">
        <v>0</v>
      </c>
      <c r="AS4" s="87"/>
      <c r="AT4" s="87"/>
      <c r="AU4" s="87"/>
      <c r="AV4" s="87"/>
      <c r="AW4" s="87"/>
      <c r="AX4" s="87"/>
      <c r="AY4" s="87"/>
      <c r="AZ4" s="87"/>
      <c r="BA4">
        <v>2</v>
      </c>
      <c r="BB4" s="86" t="str">
        <f>REPLACE(INDEX(GroupVertices[Group],MATCH(Edges[[#This Row],[Vertex 1]],GroupVertices[Vertex],0)),1,1,"")</f>
        <v>1</v>
      </c>
      <c r="BC4" s="86" t="str">
        <f>REPLACE(INDEX(GroupVertices[Group],MATCH(Edges[[#This Row],[Vertex 2]],GroupVertices[Vertex],0)),1,1,"")</f>
        <v>1</v>
      </c>
      <c r="BD4" s="51">
        <v>0</v>
      </c>
      <c r="BE4" s="52">
        <v>0</v>
      </c>
      <c r="BF4" s="51">
        <v>0</v>
      </c>
      <c r="BG4" s="52">
        <v>0</v>
      </c>
      <c r="BH4" s="51">
        <v>0</v>
      </c>
      <c r="BI4" s="52">
        <v>0</v>
      </c>
      <c r="BJ4" s="51">
        <v>11</v>
      </c>
      <c r="BK4" s="52">
        <v>100</v>
      </c>
      <c r="BL4" s="51">
        <v>11</v>
      </c>
    </row>
    <row r="5" spans="1:64" ht="30">
      <c r="A5" s="85" t="s">
        <v>213</v>
      </c>
      <c r="B5" s="85" t="s">
        <v>213</v>
      </c>
      <c r="C5" s="53" t="s">
        <v>620</v>
      </c>
      <c r="D5" s="54">
        <v>3</v>
      </c>
      <c r="E5" s="66" t="s">
        <v>136</v>
      </c>
      <c r="F5" s="55">
        <v>35</v>
      </c>
      <c r="G5" s="53"/>
      <c r="H5" s="57"/>
      <c r="I5" s="56"/>
      <c r="J5" s="56"/>
      <c r="K5" s="36" t="s">
        <v>65</v>
      </c>
      <c r="L5" s="84">
        <v>5</v>
      </c>
      <c r="M5" s="84"/>
      <c r="N5" s="63"/>
      <c r="O5" s="87" t="s">
        <v>176</v>
      </c>
      <c r="P5" s="89">
        <v>43475.65</v>
      </c>
      <c r="Q5" s="87" t="s">
        <v>228</v>
      </c>
      <c r="R5" s="91" t="s">
        <v>246</v>
      </c>
      <c r="S5" s="87" t="s">
        <v>262</v>
      </c>
      <c r="T5" s="87"/>
      <c r="U5" s="87"/>
      <c r="V5" s="91" t="s">
        <v>277</v>
      </c>
      <c r="W5" s="89">
        <v>43475.65</v>
      </c>
      <c r="X5" s="91" t="s">
        <v>292</v>
      </c>
      <c r="Y5" s="87"/>
      <c r="Z5" s="87"/>
      <c r="AA5" s="93" t="s">
        <v>310</v>
      </c>
      <c r="AB5" s="87"/>
      <c r="AC5" s="87" t="b">
        <v>0</v>
      </c>
      <c r="AD5" s="87">
        <v>0</v>
      </c>
      <c r="AE5" s="93" t="s">
        <v>326</v>
      </c>
      <c r="AF5" s="87" t="b">
        <v>0</v>
      </c>
      <c r="AG5" s="87" t="s">
        <v>327</v>
      </c>
      <c r="AH5" s="87"/>
      <c r="AI5" s="93" t="s">
        <v>326</v>
      </c>
      <c r="AJ5" s="87" t="b">
        <v>0</v>
      </c>
      <c r="AK5" s="87">
        <v>0</v>
      </c>
      <c r="AL5" s="93" t="s">
        <v>326</v>
      </c>
      <c r="AM5" s="87" t="s">
        <v>263</v>
      </c>
      <c r="AN5" s="87" t="b">
        <v>0</v>
      </c>
      <c r="AO5" s="93" t="s">
        <v>310</v>
      </c>
      <c r="AP5" s="87" t="s">
        <v>176</v>
      </c>
      <c r="AQ5" s="87">
        <v>0</v>
      </c>
      <c r="AR5" s="87">
        <v>0</v>
      </c>
      <c r="AS5" s="87"/>
      <c r="AT5" s="87"/>
      <c r="AU5" s="87"/>
      <c r="AV5" s="87"/>
      <c r="AW5" s="87"/>
      <c r="AX5" s="87"/>
      <c r="AY5" s="87"/>
      <c r="AZ5" s="87"/>
      <c r="BA5">
        <v>2</v>
      </c>
      <c r="BB5" s="86" t="str">
        <f>REPLACE(INDEX(GroupVertices[Group],MATCH(Edges[[#This Row],[Vertex 1]],GroupVertices[Vertex],0)),1,1,"")</f>
        <v>1</v>
      </c>
      <c r="BC5" s="86" t="str">
        <f>REPLACE(INDEX(GroupVertices[Group],MATCH(Edges[[#This Row],[Vertex 2]],GroupVertices[Vertex],0)),1,1,"")</f>
        <v>1</v>
      </c>
      <c r="BD5" s="51">
        <v>0</v>
      </c>
      <c r="BE5" s="52">
        <v>0</v>
      </c>
      <c r="BF5" s="51">
        <v>0</v>
      </c>
      <c r="BG5" s="52">
        <v>0</v>
      </c>
      <c r="BH5" s="51">
        <v>0</v>
      </c>
      <c r="BI5" s="52">
        <v>0</v>
      </c>
      <c r="BJ5" s="51">
        <v>11</v>
      </c>
      <c r="BK5" s="52">
        <v>100</v>
      </c>
      <c r="BL5" s="51">
        <v>11</v>
      </c>
    </row>
    <row r="6" spans="1:64" ht="45">
      <c r="A6" s="85" t="s">
        <v>214</v>
      </c>
      <c r="B6" s="85" t="s">
        <v>214</v>
      </c>
      <c r="C6" s="53" t="s">
        <v>619</v>
      </c>
      <c r="D6" s="54">
        <v>3</v>
      </c>
      <c r="E6" s="66" t="s">
        <v>132</v>
      </c>
      <c r="F6" s="55">
        <v>35</v>
      </c>
      <c r="G6" s="53"/>
      <c r="H6" s="57"/>
      <c r="I6" s="56"/>
      <c r="J6" s="56"/>
      <c r="K6" s="36" t="s">
        <v>65</v>
      </c>
      <c r="L6" s="84">
        <v>6</v>
      </c>
      <c r="M6" s="84"/>
      <c r="N6" s="63"/>
      <c r="O6" s="87" t="s">
        <v>176</v>
      </c>
      <c r="P6" s="89">
        <v>43478.82818287037</v>
      </c>
      <c r="Q6" s="87" t="s">
        <v>229</v>
      </c>
      <c r="R6" s="91" t="s">
        <v>247</v>
      </c>
      <c r="S6" s="87" t="s">
        <v>264</v>
      </c>
      <c r="T6" s="87"/>
      <c r="U6" s="87"/>
      <c r="V6" s="91" t="s">
        <v>278</v>
      </c>
      <c r="W6" s="89">
        <v>43478.82818287037</v>
      </c>
      <c r="X6" s="91" t="s">
        <v>293</v>
      </c>
      <c r="Y6" s="87"/>
      <c r="Z6" s="87"/>
      <c r="AA6" s="93" t="s">
        <v>311</v>
      </c>
      <c r="AB6" s="87"/>
      <c r="AC6" s="87" t="b">
        <v>0</v>
      </c>
      <c r="AD6" s="87">
        <v>0</v>
      </c>
      <c r="AE6" s="93" t="s">
        <v>326</v>
      </c>
      <c r="AF6" s="87" t="b">
        <v>0</v>
      </c>
      <c r="AG6" s="87" t="s">
        <v>327</v>
      </c>
      <c r="AH6" s="87"/>
      <c r="AI6" s="93" t="s">
        <v>326</v>
      </c>
      <c r="AJ6" s="87" t="b">
        <v>0</v>
      </c>
      <c r="AK6" s="87">
        <v>0</v>
      </c>
      <c r="AL6" s="93" t="s">
        <v>326</v>
      </c>
      <c r="AM6" s="87" t="s">
        <v>329</v>
      </c>
      <c r="AN6" s="87" t="b">
        <v>0</v>
      </c>
      <c r="AO6" s="93" t="s">
        <v>311</v>
      </c>
      <c r="AP6" s="87" t="s">
        <v>176</v>
      </c>
      <c r="AQ6" s="87">
        <v>0</v>
      </c>
      <c r="AR6" s="87">
        <v>0</v>
      </c>
      <c r="AS6" s="87"/>
      <c r="AT6" s="87"/>
      <c r="AU6" s="87"/>
      <c r="AV6" s="87"/>
      <c r="AW6" s="87"/>
      <c r="AX6" s="87"/>
      <c r="AY6" s="87"/>
      <c r="AZ6" s="87"/>
      <c r="BA6">
        <v>1</v>
      </c>
      <c r="BB6" s="86" t="str">
        <f>REPLACE(INDEX(GroupVertices[Group],MATCH(Edges[[#This Row],[Vertex 1]],GroupVertices[Vertex],0)),1,1,"")</f>
        <v>1</v>
      </c>
      <c r="BC6" s="86" t="str">
        <f>REPLACE(INDEX(GroupVertices[Group],MATCH(Edges[[#This Row],[Vertex 2]],GroupVertices[Vertex],0)),1,1,"")</f>
        <v>1</v>
      </c>
      <c r="BD6" s="51">
        <v>0</v>
      </c>
      <c r="BE6" s="52">
        <v>0</v>
      </c>
      <c r="BF6" s="51">
        <v>0</v>
      </c>
      <c r="BG6" s="52">
        <v>0</v>
      </c>
      <c r="BH6" s="51">
        <v>0</v>
      </c>
      <c r="BI6" s="52">
        <v>0</v>
      </c>
      <c r="BJ6" s="51">
        <v>11</v>
      </c>
      <c r="BK6" s="52">
        <v>100</v>
      </c>
      <c r="BL6" s="51">
        <v>11</v>
      </c>
    </row>
    <row r="7" spans="1:64" ht="45">
      <c r="A7" s="85" t="s">
        <v>215</v>
      </c>
      <c r="B7" s="85" t="s">
        <v>215</v>
      </c>
      <c r="C7" s="53" t="s">
        <v>619</v>
      </c>
      <c r="D7" s="54">
        <v>3</v>
      </c>
      <c r="E7" s="66" t="s">
        <v>132</v>
      </c>
      <c r="F7" s="55">
        <v>35</v>
      </c>
      <c r="G7" s="53"/>
      <c r="H7" s="57"/>
      <c r="I7" s="56"/>
      <c r="J7" s="56"/>
      <c r="K7" s="36" t="s">
        <v>65</v>
      </c>
      <c r="L7" s="84">
        <v>7</v>
      </c>
      <c r="M7" s="84"/>
      <c r="N7" s="63"/>
      <c r="O7" s="87" t="s">
        <v>176</v>
      </c>
      <c r="P7" s="89">
        <v>43479.901087962964</v>
      </c>
      <c r="Q7" s="87" t="s">
        <v>230</v>
      </c>
      <c r="R7" s="91" t="s">
        <v>248</v>
      </c>
      <c r="S7" s="87" t="s">
        <v>265</v>
      </c>
      <c r="T7" s="87"/>
      <c r="U7" s="87"/>
      <c r="V7" s="91" t="s">
        <v>279</v>
      </c>
      <c r="W7" s="89">
        <v>43479.901087962964</v>
      </c>
      <c r="X7" s="91" t="s">
        <v>294</v>
      </c>
      <c r="Y7" s="87"/>
      <c r="Z7" s="87"/>
      <c r="AA7" s="93" t="s">
        <v>312</v>
      </c>
      <c r="AB7" s="87"/>
      <c r="AC7" s="87" t="b">
        <v>0</v>
      </c>
      <c r="AD7" s="87">
        <v>0</v>
      </c>
      <c r="AE7" s="93" t="s">
        <v>326</v>
      </c>
      <c r="AF7" s="87" t="b">
        <v>0</v>
      </c>
      <c r="AG7" s="87" t="s">
        <v>327</v>
      </c>
      <c r="AH7" s="87"/>
      <c r="AI7" s="93" t="s">
        <v>326</v>
      </c>
      <c r="AJ7" s="87" t="b">
        <v>0</v>
      </c>
      <c r="AK7" s="87">
        <v>0</v>
      </c>
      <c r="AL7" s="93" t="s">
        <v>326</v>
      </c>
      <c r="AM7" s="87" t="s">
        <v>330</v>
      </c>
      <c r="AN7" s="87" t="b">
        <v>0</v>
      </c>
      <c r="AO7" s="93" t="s">
        <v>312</v>
      </c>
      <c r="AP7" s="87" t="s">
        <v>176</v>
      </c>
      <c r="AQ7" s="87">
        <v>0</v>
      </c>
      <c r="AR7" s="87">
        <v>0</v>
      </c>
      <c r="AS7" s="87"/>
      <c r="AT7" s="87"/>
      <c r="AU7" s="87"/>
      <c r="AV7" s="87"/>
      <c r="AW7" s="87"/>
      <c r="AX7" s="87"/>
      <c r="AY7" s="87"/>
      <c r="AZ7" s="87"/>
      <c r="BA7">
        <v>1</v>
      </c>
      <c r="BB7" s="86" t="str">
        <f>REPLACE(INDEX(GroupVertices[Group],MATCH(Edges[[#This Row],[Vertex 1]],GroupVertices[Vertex],0)),1,1,"")</f>
        <v>1</v>
      </c>
      <c r="BC7" s="86" t="str">
        <f>REPLACE(INDEX(GroupVertices[Group],MATCH(Edges[[#This Row],[Vertex 2]],GroupVertices[Vertex],0)),1,1,"")</f>
        <v>1</v>
      </c>
      <c r="BD7" s="51">
        <v>0</v>
      </c>
      <c r="BE7" s="52">
        <v>0</v>
      </c>
      <c r="BF7" s="51">
        <v>0</v>
      </c>
      <c r="BG7" s="52">
        <v>0</v>
      </c>
      <c r="BH7" s="51">
        <v>0</v>
      </c>
      <c r="BI7" s="52">
        <v>0</v>
      </c>
      <c r="BJ7" s="51">
        <v>14</v>
      </c>
      <c r="BK7" s="52">
        <v>100</v>
      </c>
      <c r="BL7" s="51">
        <v>14</v>
      </c>
    </row>
    <row r="8" spans="1:64" ht="45">
      <c r="A8" s="85" t="s">
        <v>216</v>
      </c>
      <c r="B8" s="85" t="s">
        <v>216</v>
      </c>
      <c r="C8" s="53" t="s">
        <v>619</v>
      </c>
      <c r="D8" s="54">
        <v>3</v>
      </c>
      <c r="E8" s="66" t="s">
        <v>132</v>
      </c>
      <c r="F8" s="55">
        <v>35</v>
      </c>
      <c r="G8" s="53"/>
      <c r="H8" s="57"/>
      <c r="I8" s="56"/>
      <c r="J8" s="56"/>
      <c r="K8" s="36" t="s">
        <v>65</v>
      </c>
      <c r="L8" s="84">
        <v>8</v>
      </c>
      <c r="M8" s="84"/>
      <c r="N8" s="63"/>
      <c r="O8" s="87" t="s">
        <v>176</v>
      </c>
      <c r="P8" s="89">
        <v>43481.153391203705</v>
      </c>
      <c r="Q8" s="87" t="s">
        <v>231</v>
      </c>
      <c r="R8" s="91" t="s">
        <v>249</v>
      </c>
      <c r="S8" s="87" t="s">
        <v>266</v>
      </c>
      <c r="T8" s="87" t="s">
        <v>275</v>
      </c>
      <c r="U8" s="87"/>
      <c r="V8" s="91" t="s">
        <v>280</v>
      </c>
      <c r="W8" s="89">
        <v>43481.153391203705</v>
      </c>
      <c r="X8" s="91" t="s">
        <v>295</v>
      </c>
      <c r="Y8" s="87"/>
      <c r="Z8" s="87"/>
      <c r="AA8" s="93" t="s">
        <v>313</v>
      </c>
      <c r="AB8" s="87"/>
      <c r="AC8" s="87" t="b">
        <v>0</v>
      </c>
      <c r="AD8" s="87">
        <v>0</v>
      </c>
      <c r="AE8" s="93" t="s">
        <v>326</v>
      </c>
      <c r="AF8" s="87" t="b">
        <v>0</v>
      </c>
      <c r="AG8" s="87" t="s">
        <v>327</v>
      </c>
      <c r="AH8" s="87"/>
      <c r="AI8" s="93" t="s">
        <v>326</v>
      </c>
      <c r="AJ8" s="87" t="b">
        <v>0</v>
      </c>
      <c r="AK8" s="87">
        <v>0</v>
      </c>
      <c r="AL8" s="93" t="s">
        <v>326</v>
      </c>
      <c r="AM8" s="87" t="s">
        <v>329</v>
      </c>
      <c r="AN8" s="87" t="b">
        <v>0</v>
      </c>
      <c r="AO8" s="93" t="s">
        <v>313</v>
      </c>
      <c r="AP8" s="87" t="s">
        <v>176</v>
      </c>
      <c r="AQ8" s="87">
        <v>0</v>
      </c>
      <c r="AR8" s="87">
        <v>0</v>
      </c>
      <c r="AS8" s="87"/>
      <c r="AT8" s="87"/>
      <c r="AU8" s="87"/>
      <c r="AV8" s="87"/>
      <c r="AW8" s="87"/>
      <c r="AX8" s="87"/>
      <c r="AY8" s="87"/>
      <c r="AZ8" s="87"/>
      <c r="BA8">
        <v>1</v>
      </c>
      <c r="BB8" s="86" t="str">
        <f>REPLACE(INDEX(GroupVertices[Group],MATCH(Edges[[#This Row],[Vertex 1]],GroupVertices[Vertex],0)),1,1,"")</f>
        <v>1</v>
      </c>
      <c r="BC8" s="86" t="str">
        <f>REPLACE(INDEX(GroupVertices[Group],MATCH(Edges[[#This Row],[Vertex 2]],GroupVertices[Vertex],0)),1,1,"")</f>
        <v>1</v>
      </c>
      <c r="BD8" s="51">
        <v>0</v>
      </c>
      <c r="BE8" s="52">
        <v>0</v>
      </c>
      <c r="BF8" s="51">
        <v>0</v>
      </c>
      <c r="BG8" s="52">
        <v>0</v>
      </c>
      <c r="BH8" s="51">
        <v>0</v>
      </c>
      <c r="BI8" s="52">
        <v>0</v>
      </c>
      <c r="BJ8" s="51">
        <v>13</v>
      </c>
      <c r="BK8" s="52">
        <v>100</v>
      </c>
      <c r="BL8" s="51">
        <v>13</v>
      </c>
    </row>
    <row r="9" spans="1:64" ht="45">
      <c r="A9" s="85" t="s">
        <v>217</v>
      </c>
      <c r="B9" s="85" t="s">
        <v>217</v>
      </c>
      <c r="C9" s="53" t="s">
        <v>619</v>
      </c>
      <c r="D9" s="54">
        <v>3</v>
      </c>
      <c r="E9" s="66" t="s">
        <v>132</v>
      </c>
      <c r="F9" s="55">
        <v>35</v>
      </c>
      <c r="G9" s="53"/>
      <c r="H9" s="57"/>
      <c r="I9" s="56"/>
      <c r="J9" s="56"/>
      <c r="K9" s="36" t="s">
        <v>65</v>
      </c>
      <c r="L9" s="84">
        <v>9</v>
      </c>
      <c r="M9" s="84"/>
      <c r="N9" s="63"/>
      <c r="O9" s="87" t="s">
        <v>176</v>
      </c>
      <c r="P9" s="89">
        <v>43485.12862268519</v>
      </c>
      <c r="Q9" s="87" t="s">
        <v>232</v>
      </c>
      <c r="R9" s="91" t="s">
        <v>250</v>
      </c>
      <c r="S9" s="87" t="s">
        <v>267</v>
      </c>
      <c r="T9" s="87"/>
      <c r="U9" s="87"/>
      <c r="V9" s="91" t="s">
        <v>281</v>
      </c>
      <c r="W9" s="89">
        <v>43485.12862268519</v>
      </c>
      <c r="X9" s="91" t="s">
        <v>296</v>
      </c>
      <c r="Y9" s="87"/>
      <c r="Z9" s="87"/>
      <c r="AA9" s="93" t="s">
        <v>314</v>
      </c>
      <c r="AB9" s="87"/>
      <c r="AC9" s="87" t="b">
        <v>0</v>
      </c>
      <c r="AD9" s="87">
        <v>0</v>
      </c>
      <c r="AE9" s="93" t="s">
        <v>326</v>
      </c>
      <c r="AF9" s="87" t="b">
        <v>0</v>
      </c>
      <c r="AG9" s="87" t="s">
        <v>327</v>
      </c>
      <c r="AH9" s="87"/>
      <c r="AI9" s="93" t="s">
        <v>326</v>
      </c>
      <c r="AJ9" s="87" t="b">
        <v>0</v>
      </c>
      <c r="AK9" s="87">
        <v>0</v>
      </c>
      <c r="AL9" s="93" t="s">
        <v>326</v>
      </c>
      <c r="AM9" s="87" t="s">
        <v>329</v>
      </c>
      <c r="AN9" s="87" t="b">
        <v>0</v>
      </c>
      <c r="AO9" s="93" t="s">
        <v>314</v>
      </c>
      <c r="AP9" s="87" t="s">
        <v>176</v>
      </c>
      <c r="AQ9" s="87">
        <v>0</v>
      </c>
      <c r="AR9" s="87">
        <v>0</v>
      </c>
      <c r="AS9" s="87"/>
      <c r="AT9" s="87"/>
      <c r="AU9" s="87"/>
      <c r="AV9" s="87"/>
      <c r="AW9" s="87"/>
      <c r="AX9" s="87"/>
      <c r="AY9" s="87"/>
      <c r="AZ9" s="87"/>
      <c r="BA9">
        <v>1</v>
      </c>
      <c r="BB9" s="86" t="str">
        <f>REPLACE(INDEX(GroupVertices[Group],MATCH(Edges[[#This Row],[Vertex 1]],GroupVertices[Vertex],0)),1,1,"")</f>
        <v>1</v>
      </c>
      <c r="BC9" s="86" t="str">
        <f>REPLACE(INDEX(GroupVertices[Group],MATCH(Edges[[#This Row],[Vertex 2]],GroupVertices[Vertex],0)),1,1,"")</f>
        <v>1</v>
      </c>
      <c r="BD9" s="51">
        <v>0</v>
      </c>
      <c r="BE9" s="52">
        <v>0</v>
      </c>
      <c r="BF9" s="51">
        <v>0</v>
      </c>
      <c r="BG9" s="52">
        <v>0</v>
      </c>
      <c r="BH9" s="51">
        <v>0</v>
      </c>
      <c r="BI9" s="52">
        <v>0</v>
      </c>
      <c r="BJ9" s="51">
        <v>10</v>
      </c>
      <c r="BK9" s="52">
        <v>100</v>
      </c>
      <c r="BL9" s="51">
        <v>10</v>
      </c>
    </row>
    <row r="10" spans="1:64" ht="45">
      <c r="A10" s="85" t="s">
        <v>218</v>
      </c>
      <c r="B10" s="85" t="s">
        <v>218</v>
      </c>
      <c r="C10" s="53" t="s">
        <v>619</v>
      </c>
      <c r="D10" s="54">
        <v>3</v>
      </c>
      <c r="E10" s="66" t="s">
        <v>132</v>
      </c>
      <c r="F10" s="55">
        <v>35</v>
      </c>
      <c r="G10" s="53"/>
      <c r="H10" s="57"/>
      <c r="I10" s="56"/>
      <c r="J10" s="56"/>
      <c r="K10" s="36" t="s">
        <v>65</v>
      </c>
      <c r="L10" s="84">
        <v>10</v>
      </c>
      <c r="M10" s="84"/>
      <c r="N10" s="63"/>
      <c r="O10" s="87" t="s">
        <v>176</v>
      </c>
      <c r="P10" s="89">
        <v>43485.13496527778</v>
      </c>
      <c r="Q10" s="87" t="s">
        <v>233</v>
      </c>
      <c r="R10" s="91" t="s">
        <v>251</v>
      </c>
      <c r="S10" s="87" t="s">
        <v>268</v>
      </c>
      <c r="T10" s="87"/>
      <c r="U10" s="87"/>
      <c r="V10" s="91" t="s">
        <v>282</v>
      </c>
      <c r="W10" s="89">
        <v>43485.13496527778</v>
      </c>
      <c r="X10" s="91" t="s">
        <v>297</v>
      </c>
      <c r="Y10" s="87"/>
      <c r="Z10" s="87"/>
      <c r="AA10" s="93" t="s">
        <v>315</v>
      </c>
      <c r="AB10" s="87"/>
      <c r="AC10" s="87" t="b">
        <v>0</v>
      </c>
      <c r="AD10" s="87">
        <v>0</v>
      </c>
      <c r="AE10" s="93" t="s">
        <v>326</v>
      </c>
      <c r="AF10" s="87" t="b">
        <v>0</v>
      </c>
      <c r="AG10" s="87" t="s">
        <v>327</v>
      </c>
      <c r="AH10" s="87"/>
      <c r="AI10" s="93" t="s">
        <v>326</v>
      </c>
      <c r="AJ10" s="87" t="b">
        <v>0</v>
      </c>
      <c r="AK10" s="87">
        <v>0</v>
      </c>
      <c r="AL10" s="93" t="s">
        <v>326</v>
      </c>
      <c r="AM10" s="87" t="s">
        <v>329</v>
      </c>
      <c r="AN10" s="87" t="b">
        <v>0</v>
      </c>
      <c r="AO10" s="93" t="s">
        <v>315</v>
      </c>
      <c r="AP10" s="87" t="s">
        <v>176</v>
      </c>
      <c r="AQ10" s="87">
        <v>0</v>
      </c>
      <c r="AR10" s="87">
        <v>0</v>
      </c>
      <c r="AS10" s="87"/>
      <c r="AT10" s="87"/>
      <c r="AU10" s="87"/>
      <c r="AV10" s="87"/>
      <c r="AW10" s="87"/>
      <c r="AX10" s="87"/>
      <c r="AY10" s="87"/>
      <c r="AZ10" s="87"/>
      <c r="BA10">
        <v>1</v>
      </c>
      <c r="BB10" s="86" t="str">
        <f>REPLACE(INDEX(GroupVertices[Group],MATCH(Edges[[#This Row],[Vertex 1]],GroupVertices[Vertex],0)),1,1,"")</f>
        <v>1</v>
      </c>
      <c r="BC10" s="86" t="str">
        <f>REPLACE(INDEX(GroupVertices[Group],MATCH(Edges[[#This Row],[Vertex 2]],GroupVertices[Vertex],0)),1,1,"")</f>
        <v>1</v>
      </c>
      <c r="BD10" s="51">
        <v>0</v>
      </c>
      <c r="BE10" s="52">
        <v>0</v>
      </c>
      <c r="BF10" s="51">
        <v>0</v>
      </c>
      <c r="BG10" s="52">
        <v>0</v>
      </c>
      <c r="BH10" s="51">
        <v>0</v>
      </c>
      <c r="BI10" s="52">
        <v>0</v>
      </c>
      <c r="BJ10" s="51">
        <v>10</v>
      </c>
      <c r="BK10" s="52">
        <v>100</v>
      </c>
      <c r="BL10" s="51">
        <v>10</v>
      </c>
    </row>
    <row r="11" spans="1:64" ht="30">
      <c r="A11" s="85" t="s">
        <v>219</v>
      </c>
      <c r="B11" s="85" t="s">
        <v>219</v>
      </c>
      <c r="C11" s="53" t="s">
        <v>620</v>
      </c>
      <c r="D11" s="54">
        <v>3</v>
      </c>
      <c r="E11" s="66" t="s">
        <v>136</v>
      </c>
      <c r="F11" s="55">
        <v>35</v>
      </c>
      <c r="G11" s="53"/>
      <c r="H11" s="57"/>
      <c r="I11" s="56"/>
      <c r="J11" s="56"/>
      <c r="K11" s="36" t="s">
        <v>65</v>
      </c>
      <c r="L11" s="84">
        <v>11</v>
      </c>
      <c r="M11" s="84"/>
      <c r="N11" s="63"/>
      <c r="O11" s="87" t="s">
        <v>176</v>
      </c>
      <c r="P11" s="89">
        <v>43476.58715277778</v>
      </c>
      <c r="Q11" s="87" t="s">
        <v>234</v>
      </c>
      <c r="R11" s="91" t="s">
        <v>252</v>
      </c>
      <c r="S11" s="87" t="s">
        <v>269</v>
      </c>
      <c r="T11" s="87"/>
      <c r="U11" s="87"/>
      <c r="V11" s="91" t="s">
        <v>283</v>
      </c>
      <c r="W11" s="89">
        <v>43476.58715277778</v>
      </c>
      <c r="X11" s="91" t="s">
        <v>298</v>
      </c>
      <c r="Y11" s="87"/>
      <c r="Z11" s="87"/>
      <c r="AA11" s="93" t="s">
        <v>316</v>
      </c>
      <c r="AB11" s="87"/>
      <c r="AC11" s="87" t="b">
        <v>0</v>
      </c>
      <c r="AD11" s="87">
        <v>0</v>
      </c>
      <c r="AE11" s="93" t="s">
        <v>326</v>
      </c>
      <c r="AF11" s="87" t="b">
        <v>0</v>
      </c>
      <c r="AG11" s="87" t="s">
        <v>327</v>
      </c>
      <c r="AH11" s="87"/>
      <c r="AI11" s="93" t="s">
        <v>326</v>
      </c>
      <c r="AJ11" s="87" t="b">
        <v>0</v>
      </c>
      <c r="AK11" s="87">
        <v>0</v>
      </c>
      <c r="AL11" s="93" t="s">
        <v>326</v>
      </c>
      <c r="AM11" s="87" t="s">
        <v>329</v>
      </c>
      <c r="AN11" s="87" t="b">
        <v>0</v>
      </c>
      <c r="AO11" s="93" t="s">
        <v>316</v>
      </c>
      <c r="AP11" s="87" t="s">
        <v>176</v>
      </c>
      <c r="AQ11" s="87">
        <v>0</v>
      </c>
      <c r="AR11" s="87">
        <v>0</v>
      </c>
      <c r="AS11" s="87"/>
      <c r="AT11" s="87"/>
      <c r="AU11" s="87"/>
      <c r="AV11" s="87"/>
      <c r="AW11" s="87"/>
      <c r="AX11" s="87"/>
      <c r="AY11" s="87"/>
      <c r="AZ11" s="87"/>
      <c r="BA11">
        <v>2</v>
      </c>
      <c r="BB11" s="86" t="str">
        <f>REPLACE(INDEX(GroupVertices[Group],MATCH(Edges[[#This Row],[Vertex 1]],GroupVertices[Vertex],0)),1,1,"")</f>
        <v>1</v>
      </c>
      <c r="BC11" s="86" t="str">
        <f>REPLACE(INDEX(GroupVertices[Group],MATCH(Edges[[#This Row],[Vertex 2]],GroupVertices[Vertex],0)),1,1,"")</f>
        <v>1</v>
      </c>
      <c r="BD11" s="51">
        <v>1</v>
      </c>
      <c r="BE11" s="52">
        <v>8.333333333333334</v>
      </c>
      <c r="BF11" s="51">
        <v>0</v>
      </c>
      <c r="BG11" s="52">
        <v>0</v>
      </c>
      <c r="BH11" s="51">
        <v>0</v>
      </c>
      <c r="BI11" s="52">
        <v>0</v>
      </c>
      <c r="BJ11" s="51">
        <v>11</v>
      </c>
      <c r="BK11" s="52">
        <v>91.66666666666667</v>
      </c>
      <c r="BL11" s="51">
        <v>12</v>
      </c>
    </row>
    <row r="12" spans="1:64" ht="30">
      <c r="A12" s="85" t="s">
        <v>219</v>
      </c>
      <c r="B12" s="85" t="s">
        <v>219</v>
      </c>
      <c r="C12" s="53" t="s">
        <v>620</v>
      </c>
      <c r="D12" s="54">
        <v>3</v>
      </c>
      <c r="E12" s="66" t="s">
        <v>136</v>
      </c>
      <c r="F12" s="55">
        <v>35</v>
      </c>
      <c r="G12" s="53"/>
      <c r="H12" s="57"/>
      <c r="I12" s="56"/>
      <c r="J12" s="56"/>
      <c r="K12" s="36" t="s">
        <v>65</v>
      </c>
      <c r="L12" s="84">
        <v>12</v>
      </c>
      <c r="M12" s="84"/>
      <c r="N12" s="63"/>
      <c r="O12" s="87" t="s">
        <v>176</v>
      </c>
      <c r="P12" s="89">
        <v>43485.76875</v>
      </c>
      <c r="Q12" s="87" t="s">
        <v>235</v>
      </c>
      <c r="R12" s="91" t="s">
        <v>253</v>
      </c>
      <c r="S12" s="87" t="s">
        <v>269</v>
      </c>
      <c r="T12" s="87"/>
      <c r="U12" s="87"/>
      <c r="V12" s="91" t="s">
        <v>283</v>
      </c>
      <c r="W12" s="89">
        <v>43485.76875</v>
      </c>
      <c r="X12" s="91" t="s">
        <v>299</v>
      </c>
      <c r="Y12" s="87"/>
      <c r="Z12" s="87"/>
      <c r="AA12" s="93" t="s">
        <v>317</v>
      </c>
      <c r="AB12" s="87"/>
      <c r="AC12" s="87" t="b">
        <v>0</v>
      </c>
      <c r="AD12" s="87">
        <v>0</v>
      </c>
      <c r="AE12" s="93" t="s">
        <v>326</v>
      </c>
      <c r="AF12" s="87" t="b">
        <v>0</v>
      </c>
      <c r="AG12" s="87" t="s">
        <v>327</v>
      </c>
      <c r="AH12" s="87"/>
      <c r="AI12" s="93" t="s">
        <v>326</v>
      </c>
      <c r="AJ12" s="87" t="b">
        <v>0</v>
      </c>
      <c r="AK12" s="87">
        <v>0</v>
      </c>
      <c r="AL12" s="93" t="s">
        <v>326</v>
      </c>
      <c r="AM12" s="87" t="s">
        <v>329</v>
      </c>
      <c r="AN12" s="87" t="b">
        <v>0</v>
      </c>
      <c r="AO12" s="93" t="s">
        <v>317</v>
      </c>
      <c r="AP12" s="87" t="s">
        <v>176</v>
      </c>
      <c r="AQ12" s="87">
        <v>0</v>
      </c>
      <c r="AR12" s="87">
        <v>0</v>
      </c>
      <c r="AS12" s="87"/>
      <c r="AT12" s="87"/>
      <c r="AU12" s="87"/>
      <c r="AV12" s="87"/>
      <c r="AW12" s="87"/>
      <c r="AX12" s="87"/>
      <c r="AY12" s="87"/>
      <c r="AZ12" s="87"/>
      <c r="BA12">
        <v>2</v>
      </c>
      <c r="BB12" s="86" t="str">
        <f>REPLACE(INDEX(GroupVertices[Group],MATCH(Edges[[#This Row],[Vertex 1]],GroupVertices[Vertex],0)),1,1,"")</f>
        <v>1</v>
      </c>
      <c r="BC12" s="86" t="str">
        <f>REPLACE(INDEX(GroupVertices[Group],MATCH(Edges[[#This Row],[Vertex 2]],GroupVertices[Vertex],0)),1,1,"")</f>
        <v>1</v>
      </c>
      <c r="BD12" s="51">
        <v>0</v>
      </c>
      <c r="BE12" s="52">
        <v>0</v>
      </c>
      <c r="BF12" s="51">
        <v>0</v>
      </c>
      <c r="BG12" s="52">
        <v>0</v>
      </c>
      <c r="BH12" s="51">
        <v>0</v>
      </c>
      <c r="BI12" s="52">
        <v>0</v>
      </c>
      <c r="BJ12" s="51">
        <v>10</v>
      </c>
      <c r="BK12" s="52">
        <v>100</v>
      </c>
      <c r="BL12" s="51">
        <v>10</v>
      </c>
    </row>
    <row r="13" spans="1:64" ht="45">
      <c r="A13" s="85" t="s">
        <v>220</v>
      </c>
      <c r="B13" s="85" t="s">
        <v>220</v>
      </c>
      <c r="C13" s="53" t="s">
        <v>619</v>
      </c>
      <c r="D13" s="54">
        <v>3</v>
      </c>
      <c r="E13" s="66" t="s">
        <v>132</v>
      </c>
      <c r="F13" s="55">
        <v>35</v>
      </c>
      <c r="G13" s="53"/>
      <c r="H13" s="57"/>
      <c r="I13" s="56"/>
      <c r="J13" s="56"/>
      <c r="K13" s="36" t="s">
        <v>65</v>
      </c>
      <c r="L13" s="84">
        <v>13</v>
      </c>
      <c r="M13" s="84"/>
      <c r="N13" s="63"/>
      <c r="O13" s="87" t="s">
        <v>176</v>
      </c>
      <c r="P13" s="89">
        <v>43486.33363425926</v>
      </c>
      <c r="Q13" s="87" t="s">
        <v>236</v>
      </c>
      <c r="R13" s="91" t="s">
        <v>254</v>
      </c>
      <c r="S13" s="87" t="s">
        <v>270</v>
      </c>
      <c r="T13" s="87"/>
      <c r="U13" s="87"/>
      <c r="V13" s="91" t="s">
        <v>284</v>
      </c>
      <c r="W13" s="89">
        <v>43486.33363425926</v>
      </c>
      <c r="X13" s="91" t="s">
        <v>300</v>
      </c>
      <c r="Y13" s="87"/>
      <c r="Z13" s="87"/>
      <c r="AA13" s="93" t="s">
        <v>318</v>
      </c>
      <c r="AB13" s="87"/>
      <c r="AC13" s="87" t="b">
        <v>0</v>
      </c>
      <c r="AD13" s="87">
        <v>0</v>
      </c>
      <c r="AE13" s="93" t="s">
        <v>326</v>
      </c>
      <c r="AF13" s="87" t="b">
        <v>0</v>
      </c>
      <c r="AG13" s="87" t="s">
        <v>327</v>
      </c>
      <c r="AH13" s="87"/>
      <c r="AI13" s="93" t="s">
        <v>326</v>
      </c>
      <c r="AJ13" s="87" t="b">
        <v>0</v>
      </c>
      <c r="AK13" s="87">
        <v>0</v>
      </c>
      <c r="AL13" s="93" t="s">
        <v>326</v>
      </c>
      <c r="AM13" s="87" t="s">
        <v>329</v>
      </c>
      <c r="AN13" s="87" t="b">
        <v>0</v>
      </c>
      <c r="AO13" s="93" t="s">
        <v>318</v>
      </c>
      <c r="AP13" s="87" t="s">
        <v>176</v>
      </c>
      <c r="AQ13" s="87">
        <v>0</v>
      </c>
      <c r="AR13" s="87">
        <v>0</v>
      </c>
      <c r="AS13" s="87"/>
      <c r="AT13" s="87"/>
      <c r="AU13" s="87"/>
      <c r="AV13" s="87"/>
      <c r="AW13" s="87"/>
      <c r="AX13" s="87"/>
      <c r="AY13" s="87"/>
      <c r="AZ13" s="87"/>
      <c r="BA13">
        <v>1</v>
      </c>
      <c r="BB13" s="86" t="str">
        <f>REPLACE(INDEX(GroupVertices[Group],MATCH(Edges[[#This Row],[Vertex 1]],GroupVertices[Vertex],0)),1,1,"")</f>
        <v>1</v>
      </c>
      <c r="BC13" s="86" t="str">
        <f>REPLACE(INDEX(GroupVertices[Group],MATCH(Edges[[#This Row],[Vertex 2]],GroupVertices[Vertex],0)),1,1,"")</f>
        <v>1</v>
      </c>
      <c r="BD13" s="51">
        <v>0</v>
      </c>
      <c r="BE13" s="52">
        <v>0</v>
      </c>
      <c r="BF13" s="51">
        <v>0</v>
      </c>
      <c r="BG13" s="52">
        <v>0</v>
      </c>
      <c r="BH13" s="51">
        <v>0</v>
      </c>
      <c r="BI13" s="52">
        <v>0</v>
      </c>
      <c r="BJ13" s="51">
        <v>9</v>
      </c>
      <c r="BK13" s="52">
        <v>100</v>
      </c>
      <c r="BL13" s="51">
        <v>9</v>
      </c>
    </row>
    <row r="14" spans="1:64" ht="30">
      <c r="A14" s="85" t="s">
        <v>221</v>
      </c>
      <c r="B14" s="85" t="s">
        <v>221</v>
      </c>
      <c r="C14" s="53" t="s">
        <v>620</v>
      </c>
      <c r="D14" s="54">
        <v>3</v>
      </c>
      <c r="E14" s="66" t="s">
        <v>136</v>
      </c>
      <c r="F14" s="55">
        <v>35</v>
      </c>
      <c r="G14" s="53"/>
      <c r="H14" s="57"/>
      <c r="I14" s="56"/>
      <c r="J14" s="56"/>
      <c r="K14" s="36" t="s">
        <v>65</v>
      </c>
      <c r="L14" s="84">
        <v>14</v>
      </c>
      <c r="M14" s="84"/>
      <c r="N14" s="63"/>
      <c r="O14" s="87" t="s">
        <v>176</v>
      </c>
      <c r="P14" s="89">
        <v>43478.82996527778</v>
      </c>
      <c r="Q14" s="87" t="s">
        <v>237</v>
      </c>
      <c r="R14" s="91" t="s">
        <v>255</v>
      </c>
      <c r="S14" s="87" t="s">
        <v>271</v>
      </c>
      <c r="T14" s="87"/>
      <c r="U14" s="87"/>
      <c r="V14" s="91" t="s">
        <v>285</v>
      </c>
      <c r="W14" s="89">
        <v>43478.82996527778</v>
      </c>
      <c r="X14" s="91" t="s">
        <v>301</v>
      </c>
      <c r="Y14" s="87"/>
      <c r="Z14" s="87"/>
      <c r="AA14" s="93" t="s">
        <v>319</v>
      </c>
      <c r="AB14" s="87"/>
      <c r="AC14" s="87" t="b">
        <v>0</v>
      </c>
      <c r="AD14" s="87">
        <v>1</v>
      </c>
      <c r="AE14" s="93" t="s">
        <v>326</v>
      </c>
      <c r="AF14" s="87" t="b">
        <v>0</v>
      </c>
      <c r="AG14" s="87" t="s">
        <v>327</v>
      </c>
      <c r="AH14" s="87"/>
      <c r="AI14" s="93" t="s">
        <v>326</v>
      </c>
      <c r="AJ14" s="87" t="b">
        <v>0</v>
      </c>
      <c r="AK14" s="87">
        <v>0</v>
      </c>
      <c r="AL14" s="93" t="s">
        <v>326</v>
      </c>
      <c r="AM14" s="87" t="s">
        <v>329</v>
      </c>
      <c r="AN14" s="87" t="b">
        <v>0</v>
      </c>
      <c r="AO14" s="93" t="s">
        <v>319</v>
      </c>
      <c r="AP14" s="87" t="s">
        <v>176</v>
      </c>
      <c r="AQ14" s="87">
        <v>0</v>
      </c>
      <c r="AR14" s="87">
        <v>0</v>
      </c>
      <c r="AS14" s="87"/>
      <c r="AT14" s="87"/>
      <c r="AU14" s="87"/>
      <c r="AV14" s="87"/>
      <c r="AW14" s="87"/>
      <c r="AX14" s="87"/>
      <c r="AY14" s="87"/>
      <c r="AZ14" s="87"/>
      <c r="BA14">
        <v>2</v>
      </c>
      <c r="BB14" s="86" t="str">
        <f>REPLACE(INDEX(GroupVertices[Group],MATCH(Edges[[#This Row],[Vertex 1]],GroupVertices[Vertex],0)),1,1,"")</f>
        <v>1</v>
      </c>
      <c r="BC14" s="86" t="str">
        <f>REPLACE(INDEX(GroupVertices[Group],MATCH(Edges[[#This Row],[Vertex 2]],GroupVertices[Vertex],0)),1,1,"")</f>
        <v>1</v>
      </c>
      <c r="BD14" s="51">
        <v>2</v>
      </c>
      <c r="BE14" s="52">
        <v>15.384615384615385</v>
      </c>
      <c r="BF14" s="51">
        <v>0</v>
      </c>
      <c r="BG14" s="52">
        <v>0</v>
      </c>
      <c r="BH14" s="51">
        <v>0</v>
      </c>
      <c r="BI14" s="52">
        <v>0</v>
      </c>
      <c r="BJ14" s="51">
        <v>11</v>
      </c>
      <c r="BK14" s="52">
        <v>84.61538461538461</v>
      </c>
      <c r="BL14" s="51">
        <v>13</v>
      </c>
    </row>
    <row r="15" spans="1:64" ht="30">
      <c r="A15" s="85" t="s">
        <v>221</v>
      </c>
      <c r="B15" s="85" t="s">
        <v>221</v>
      </c>
      <c r="C15" s="53" t="s">
        <v>620</v>
      </c>
      <c r="D15" s="54">
        <v>3</v>
      </c>
      <c r="E15" s="66" t="s">
        <v>136</v>
      </c>
      <c r="F15" s="55">
        <v>35</v>
      </c>
      <c r="G15" s="53"/>
      <c r="H15" s="57"/>
      <c r="I15" s="56"/>
      <c r="J15" s="56"/>
      <c r="K15" s="36" t="s">
        <v>65</v>
      </c>
      <c r="L15" s="84">
        <v>15</v>
      </c>
      <c r="M15" s="84"/>
      <c r="N15" s="63"/>
      <c r="O15" s="87" t="s">
        <v>176</v>
      </c>
      <c r="P15" s="89">
        <v>43486.33412037037</v>
      </c>
      <c r="Q15" s="87" t="s">
        <v>238</v>
      </c>
      <c r="R15" s="91" t="s">
        <v>256</v>
      </c>
      <c r="S15" s="87" t="s">
        <v>271</v>
      </c>
      <c r="T15" s="87"/>
      <c r="U15" s="87"/>
      <c r="V15" s="91" t="s">
        <v>285</v>
      </c>
      <c r="W15" s="89">
        <v>43486.33412037037</v>
      </c>
      <c r="X15" s="91" t="s">
        <v>302</v>
      </c>
      <c r="Y15" s="87"/>
      <c r="Z15" s="87"/>
      <c r="AA15" s="93" t="s">
        <v>320</v>
      </c>
      <c r="AB15" s="87"/>
      <c r="AC15" s="87" t="b">
        <v>0</v>
      </c>
      <c r="AD15" s="87">
        <v>0</v>
      </c>
      <c r="AE15" s="93" t="s">
        <v>326</v>
      </c>
      <c r="AF15" s="87" t="b">
        <v>0</v>
      </c>
      <c r="AG15" s="87" t="s">
        <v>327</v>
      </c>
      <c r="AH15" s="87"/>
      <c r="AI15" s="93" t="s">
        <v>326</v>
      </c>
      <c r="AJ15" s="87" t="b">
        <v>0</v>
      </c>
      <c r="AK15" s="87">
        <v>0</v>
      </c>
      <c r="AL15" s="93" t="s">
        <v>326</v>
      </c>
      <c r="AM15" s="87" t="s">
        <v>329</v>
      </c>
      <c r="AN15" s="87" t="b">
        <v>0</v>
      </c>
      <c r="AO15" s="93" t="s">
        <v>320</v>
      </c>
      <c r="AP15" s="87" t="s">
        <v>176</v>
      </c>
      <c r="AQ15" s="87">
        <v>0</v>
      </c>
      <c r="AR15" s="87">
        <v>0</v>
      </c>
      <c r="AS15" s="87"/>
      <c r="AT15" s="87"/>
      <c r="AU15" s="87"/>
      <c r="AV15" s="87"/>
      <c r="AW15" s="87"/>
      <c r="AX15" s="87"/>
      <c r="AY15" s="87"/>
      <c r="AZ15" s="87"/>
      <c r="BA15">
        <v>2</v>
      </c>
      <c r="BB15" s="86" t="str">
        <f>REPLACE(INDEX(GroupVertices[Group],MATCH(Edges[[#This Row],[Vertex 1]],GroupVertices[Vertex],0)),1,1,"")</f>
        <v>1</v>
      </c>
      <c r="BC15" s="86" t="str">
        <f>REPLACE(INDEX(GroupVertices[Group],MATCH(Edges[[#This Row],[Vertex 2]],GroupVertices[Vertex],0)),1,1,"")</f>
        <v>1</v>
      </c>
      <c r="BD15" s="51">
        <v>0</v>
      </c>
      <c r="BE15" s="52">
        <v>0</v>
      </c>
      <c r="BF15" s="51">
        <v>0</v>
      </c>
      <c r="BG15" s="52">
        <v>0</v>
      </c>
      <c r="BH15" s="51">
        <v>0</v>
      </c>
      <c r="BI15" s="52">
        <v>0</v>
      </c>
      <c r="BJ15" s="51">
        <v>10</v>
      </c>
      <c r="BK15" s="52">
        <v>100</v>
      </c>
      <c r="BL15" s="51">
        <v>10</v>
      </c>
    </row>
    <row r="16" spans="1:64" ht="45">
      <c r="A16" s="85" t="s">
        <v>222</v>
      </c>
      <c r="B16" s="85" t="s">
        <v>222</v>
      </c>
      <c r="C16" s="53" t="s">
        <v>619</v>
      </c>
      <c r="D16" s="54">
        <v>3</v>
      </c>
      <c r="E16" s="66" t="s">
        <v>132</v>
      </c>
      <c r="F16" s="55">
        <v>35</v>
      </c>
      <c r="G16" s="53"/>
      <c r="H16" s="57"/>
      <c r="I16" s="56"/>
      <c r="J16" s="56"/>
      <c r="K16" s="36" t="s">
        <v>65</v>
      </c>
      <c r="L16" s="84">
        <v>16</v>
      </c>
      <c r="M16" s="84"/>
      <c r="N16" s="63"/>
      <c r="O16" s="87" t="s">
        <v>176</v>
      </c>
      <c r="P16" s="89">
        <v>43487.31689814815</v>
      </c>
      <c r="Q16" s="87" t="s">
        <v>239</v>
      </c>
      <c r="R16" s="91" t="s">
        <v>257</v>
      </c>
      <c r="S16" s="87" t="s">
        <v>272</v>
      </c>
      <c r="T16" s="87"/>
      <c r="U16" s="87"/>
      <c r="V16" s="91" t="s">
        <v>286</v>
      </c>
      <c r="W16" s="89">
        <v>43487.31689814815</v>
      </c>
      <c r="X16" s="91" t="s">
        <v>303</v>
      </c>
      <c r="Y16" s="87"/>
      <c r="Z16" s="87"/>
      <c r="AA16" s="93" t="s">
        <v>321</v>
      </c>
      <c r="AB16" s="87"/>
      <c r="AC16" s="87" t="b">
        <v>0</v>
      </c>
      <c r="AD16" s="87">
        <v>0</v>
      </c>
      <c r="AE16" s="93" t="s">
        <v>326</v>
      </c>
      <c r="AF16" s="87" t="b">
        <v>0</v>
      </c>
      <c r="AG16" s="87" t="s">
        <v>327</v>
      </c>
      <c r="AH16" s="87"/>
      <c r="AI16" s="93" t="s">
        <v>326</v>
      </c>
      <c r="AJ16" s="87" t="b">
        <v>0</v>
      </c>
      <c r="AK16" s="87">
        <v>0</v>
      </c>
      <c r="AL16" s="93" t="s">
        <v>326</v>
      </c>
      <c r="AM16" s="87" t="s">
        <v>329</v>
      </c>
      <c r="AN16" s="87" t="b">
        <v>0</v>
      </c>
      <c r="AO16" s="93" t="s">
        <v>321</v>
      </c>
      <c r="AP16" s="87" t="s">
        <v>176</v>
      </c>
      <c r="AQ16" s="87">
        <v>0</v>
      </c>
      <c r="AR16" s="87">
        <v>0</v>
      </c>
      <c r="AS16" s="87"/>
      <c r="AT16" s="87"/>
      <c r="AU16" s="87"/>
      <c r="AV16" s="87"/>
      <c r="AW16" s="87"/>
      <c r="AX16" s="87"/>
      <c r="AY16" s="87"/>
      <c r="AZ16" s="87"/>
      <c r="BA16">
        <v>1</v>
      </c>
      <c r="BB16" s="86" t="str">
        <f>REPLACE(INDEX(GroupVertices[Group],MATCH(Edges[[#This Row],[Vertex 1]],GroupVertices[Vertex],0)),1,1,"")</f>
        <v>1</v>
      </c>
      <c r="BC16" s="86" t="str">
        <f>REPLACE(INDEX(GroupVertices[Group],MATCH(Edges[[#This Row],[Vertex 2]],GroupVertices[Vertex],0)),1,1,"")</f>
        <v>1</v>
      </c>
      <c r="BD16" s="51">
        <v>0</v>
      </c>
      <c r="BE16" s="52">
        <v>0</v>
      </c>
      <c r="BF16" s="51">
        <v>0</v>
      </c>
      <c r="BG16" s="52">
        <v>0</v>
      </c>
      <c r="BH16" s="51">
        <v>0</v>
      </c>
      <c r="BI16" s="52">
        <v>0</v>
      </c>
      <c r="BJ16" s="51">
        <v>9</v>
      </c>
      <c r="BK16" s="52">
        <v>100</v>
      </c>
      <c r="BL16" s="51">
        <v>9</v>
      </c>
    </row>
    <row r="17" spans="1:64" ht="45">
      <c r="A17" s="85" t="s">
        <v>223</v>
      </c>
      <c r="B17" s="85" t="s">
        <v>223</v>
      </c>
      <c r="C17" s="53" t="s">
        <v>619</v>
      </c>
      <c r="D17" s="54">
        <v>3</v>
      </c>
      <c r="E17" s="66" t="s">
        <v>132</v>
      </c>
      <c r="F17" s="55">
        <v>35</v>
      </c>
      <c r="G17" s="53"/>
      <c r="H17" s="57"/>
      <c r="I17" s="56"/>
      <c r="J17" s="56"/>
      <c r="K17" s="36" t="s">
        <v>65</v>
      </c>
      <c r="L17" s="84">
        <v>17</v>
      </c>
      <c r="M17" s="84"/>
      <c r="N17" s="63"/>
      <c r="O17" s="87" t="s">
        <v>176</v>
      </c>
      <c r="P17" s="89">
        <v>43487.31690972222</v>
      </c>
      <c r="Q17" s="87" t="s">
        <v>240</v>
      </c>
      <c r="R17" s="91" t="s">
        <v>258</v>
      </c>
      <c r="S17" s="87" t="s">
        <v>272</v>
      </c>
      <c r="T17" s="87"/>
      <c r="U17" s="87"/>
      <c r="V17" s="91" t="s">
        <v>287</v>
      </c>
      <c r="W17" s="89">
        <v>43487.31690972222</v>
      </c>
      <c r="X17" s="91" t="s">
        <v>304</v>
      </c>
      <c r="Y17" s="87"/>
      <c r="Z17" s="87"/>
      <c r="AA17" s="93" t="s">
        <v>322</v>
      </c>
      <c r="AB17" s="87"/>
      <c r="AC17" s="87" t="b">
        <v>0</v>
      </c>
      <c r="AD17" s="87">
        <v>0</v>
      </c>
      <c r="AE17" s="93" t="s">
        <v>326</v>
      </c>
      <c r="AF17" s="87" t="b">
        <v>0</v>
      </c>
      <c r="AG17" s="87" t="s">
        <v>327</v>
      </c>
      <c r="AH17" s="87"/>
      <c r="AI17" s="93" t="s">
        <v>326</v>
      </c>
      <c r="AJ17" s="87" t="b">
        <v>0</v>
      </c>
      <c r="AK17" s="87">
        <v>0</v>
      </c>
      <c r="AL17" s="93" t="s">
        <v>326</v>
      </c>
      <c r="AM17" s="87" t="s">
        <v>329</v>
      </c>
      <c r="AN17" s="87" t="b">
        <v>0</v>
      </c>
      <c r="AO17" s="93" t="s">
        <v>322</v>
      </c>
      <c r="AP17" s="87" t="s">
        <v>176</v>
      </c>
      <c r="AQ17" s="87">
        <v>0</v>
      </c>
      <c r="AR17" s="87">
        <v>0</v>
      </c>
      <c r="AS17" s="87"/>
      <c r="AT17" s="87"/>
      <c r="AU17" s="87"/>
      <c r="AV17" s="87"/>
      <c r="AW17" s="87"/>
      <c r="AX17" s="87"/>
      <c r="AY17" s="87"/>
      <c r="AZ17" s="87"/>
      <c r="BA17">
        <v>1</v>
      </c>
      <c r="BB17" s="86" t="str">
        <f>REPLACE(INDEX(GroupVertices[Group],MATCH(Edges[[#This Row],[Vertex 1]],GroupVertices[Vertex],0)),1,1,"")</f>
        <v>1</v>
      </c>
      <c r="BC17" s="86" t="str">
        <f>REPLACE(INDEX(GroupVertices[Group],MATCH(Edges[[#This Row],[Vertex 2]],GroupVertices[Vertex],0)),1,1,"")</f>
        <v>1</v>
      </c>
      <c r="BD17" s="51">
        <v>0</v>
      </c>
      <c r="BE17" s="52">
        <v>0</v>
      </c>
      <c r="BF17" s="51">
        <v>0</v>
      </c>
      <c r="BG17" s="52">
        <v>0</v>
      </c>
      <c r="BH17" s="51">
        <v>0</v>
      </c>
      <c r="BI17" s="52">
        <v>0</v>
      </c>
      <c r="BJ17" s="51">
        <v>9</v>
      </c>
      <c r="BK17" s="52">
        <v>100</v>
      </c>
      <c r="BL17" s="51">
        <v>9</v>
      </c>
    </row>
    <row r="18" spans="1:64" ht="30">
      <c r="A18" s="85" t="s">
        <v>224</v>
      </c>
      <c r="B18" s="85" t="s">
        <v>224</v>
      </c>
      <c r="C18" s="53" t="s">
        <v>620</v>
      </c>
      <c r="D18" s="54">
        <v>3</v>
      </c>
      <c r="E18" s="66" t="s">
        <v>136</v>
      </c>
      <c r="F18" s="55">
        <v>35</v>
      </c>
      <c r="G18" s="53"/>
      <c r="H18" s="57"/>
      <c r="I18" s="56"/>
      <c r="J18" s="56"/>
      <c r="K18" s="36" t="s">
        <v>65</v>
      </c>
      <c r="L18" s="84">
        <v>18</v>
      </c>
      <c r="M18" s="84"/>
      <c r="N18" s="63"/>
      <c r="O18" s="87" t="s">
        <v>176</v>
      </c>
      <c r="P18" s="89">
        <v>43475.50938657407</v>
      </c>
      <c r="Q18" s="87" t="s">
        <v>241</v>
      </c>
      <c r="R18" s="91" t="s">
        <v>259</v>
      </c>
      <c r="S18" s="87" t="s">
        <v>273</v>
      </c>
      <c r="T18" s="87"/>
      <c r="U18" s="87"/>
      <c r="V18" s="91" t="s">
        <v>288</v>
      </c>
      <c r="W18" s="89">
        <v>43475.50938657407</v>
      </c>
      <c r="X18" s="91" t="s">
        <v>305</v>
      </c>
      <c r="Y18" s="87"/>
      <c r="Z18" s="87"/>
      <c r="AA18" s="93" t="s">
        <v>323</v>
      </c>
      <c r="AB18" s="87"/>
      <c r="AC18" s="87" t="b">
        <v>0</v>
      </c>
      <c r="AD18" s="87">
        <v>0</v>
      </c>
      <c r="AE18" s="93" t="s">
        <v>326</v>
      </c>
      <c r="AF18" s="87" t="b">
        <v>0</v>
      </c>
      <c r="AG18" s="87" t="s">
        <v>328</v>
      </c>
      <c r="AH18" s="87"/>
      <c r="AI18" s="93" t="s">
        <v>326</v>
      </c>
      <c r="AJ18" s="87" t="b">
        <v>0</v>
      </c>
      <c r="AK18" s="87">
        <v>0</v>
      </c>
      <c r="AL18" s="93" t="s">
        <v>326</v>
      </c>
      <c r="AM18" s="87" t="s">
        <v>329</v>
      </c>
      <c r="AN18" s="87" t="b">
        <v>0</v>
      </c>
      <c r="AO18" s="93" t="s">
        <v>323</v>
      </c>
      <c r="AP18" s="87" t="s">
        <v>176</v>
      </c>
      <c r="AQ18" s="87">
        <v>0</v>
      </c>
      <c r="AR18" s="87">
        <v>0</v>
      </c>
      <c r="AS18" s="87"/>
      <c r="AT18" s="87"/>
      <c r="AU18" s="87"/>
      <c r="AV18" s="87"/>
      <c r="AW18" s="87"/>
      <c r="AX18" s="87"/>
      <c r="AY18" s="87"/>
      <c r="AZ18" s="87"/>
      <c r="BA18">
        <v>2</v>
      </c>
      <c r="BB18" s="86" t="str">
        <f>REPLACE(INDEX(GroupVertices[Group],MATCH(Edges[[#This Row],[Vertex 1]],GroupVertices[Vertex],0)),1,1,"")</f>
        <v>1</v>
      </c>
      <c r="BC18" s="86" t="str">
        <f>REPLACE(INDEX(GroupVertices[Group],MATCH(Edges[[#This Row],[Vertex 2]],GroupVertices[Vertex],0)),1,1,"")</f>
        <v>1</v>
      </c>
      <c r="BD18" s="51">
        <v>0</v>
      </c>
      <c r="BE18" s="52">
        <v>0</v>
      </c>
      <c r="BF18" s="51">
        <v>0</v>
      </c>
      <c r="BG18" s="52">
        <v>0</v>
      </c>
      <c r="BH18" s="51">
        <v>0</v>
      </c>
      <c r="BI18" s="52">
        <v>0</v>
      </c>
      <c r="BJ18" s="51">
        <v>9</v>
      </c>
      <c r="BK18" s="52">
        <v>100</v>
      </c>
      <c r="BL18" s="51">
        <v>9</v>
      </c>
    </row>
    <row r="19" spans="1:64" ht="30">
      <c r="A19" s="85" t="s">
        <v>224</v>
      </c>
      <c r="B19" s="85" t="s">
        <v>224</v>
      </c>
      <c r="C19" s="53" t="s">
        <v>620</v>
      </c>
      <c r="D19" s="54">
        <v>3</v>
      </c>
      <c r="E19" s="66" t="s">
        <v>136</v>
      </c>
      <c r="F19" s="55">
        <v>35</v>
      </c>
      <c r="G19" s="53"/>
      <c r="H19" s="57"/>
      <c r="I19" s="56"/>
      <c r="J19" s="56"/>
      <c r="K19" s="36" t="s">
        <v>65</v>
      </c>
      <c r="L19" s="84">
        <v>19</v>
      </c>
      <c r="M19" s="84"/>
      <c r="N19" s="63"/>
      <c r="O19" s="87" t="s">
        <v>176</v>
      </c>
      <c r="P19" s="89">
        <v>43487.31715277778</v>
      </c>
      <c r="Q19" s="87" t="s">
        <v>242</v>
      </c>
      <c r="R19" s="91" t="s">
        <v>260</v>
      </c>
      <c r="S19" s="87" t="s">
        <v>273</v>
      </c>
      <c r="T19" s="87"/>
      <c r="U19" s="87"/>
      <c r="V19" s="91" t="s">
        <v>288</v>
      </c>
      <c r="W19" s="89">
        <v>43487.31715277778</v>
      </c>
      <c r="X19" s="91" t="s">
        <v>306</v>
      </c>
      <c r="Y19" s="87"/>
      <c r="Z19" s="87"/>
      <c r="AA19" s="93" t="s">
        <v>324</v>
      </c>
      <c r="AB19" s="87"/>
      <c r="AC19" s="87" t="b">
        <v>0</v>
      </c>
      <c r="AD19" s="87">
        <v>0</v>
      </c>
      <c r="AE19" s="93" t="s">
        <v>326</v>
      </c>
      <c r="AF19" s="87" t="b">
        <v>0</v>
      </c>
      <c r="AG19" s="87" t="s">
        <v>327</v>
      </c>
      <c r="AH19" s="87"/>
      <c r="AI19" s="93" t="s">
        <v>326</v>
      </c>
      <c r="AJ19" s="87" t="b">
        <v>0</v>
      </c>
      <c r="AK19" s="87">
        <v>0</v>
      </c>
      <c r="AL19" s="93" t="s">
        <v>326</v>
      </c>
      <c r="AM19" s="87" t="s">
        <v>329</v>
      </c>
      <c r="AN19" s="87" t="b">
        <v>0</v>
      </c>
      <c r="AO19" s="93" t="s">
        <v>324</v>
      </c>
      <c r="AP19" s="87" t="s">
        <v>176</v>
      </c>
      <c r="AQ19" s="87">
        <v>0</v>
      </c>
      <c r="AR19" s="87">
        <v>0</v>
      </c>
      <c r="AS19" s="87"/>
      <c r="AT19" s="87"/>
      <c r="AU19" s="87"/>
      <c r="AV19" s="87"/>
      <c r="AW19" s="87"/>
      <c r="AX19" s="87"/>
      <c r="AY19" s="87"/>
      <c r="AZ19" s="87"/>
      <c r="BA19">
        <v>2</v>
      </c>
      <c r="BB19" s="86" t="str">
        <f>REPLACE(INDEX(GroupVertices[Group],MATCH(Edges[[#This Row],[Vertex 1]],GroupVertices[Vertex],0)),1,1,"")</f>
        <v>1</v>
      </c>
      <c r="BC19" s="86" t="str">
        <f>REPLACE(INDEX(GroupVertices[Group],MATCH(Edges[[#This Row],[Vertex 2]],GroupVertices[Vertex],0)),1,1,"")</f>
        <v>1</v>
      </c>
      <c r="BD19" s="51">
        <v>0</v>
      </c>
      <c r="BE19" s="52">
        <v>0</v>
      </c>
      <c r="BF19" s="51">
        <v>0</v>
      </c>
      <c r="BG19" s="52">
        <v>0</v>
      </c>
      <c r="BH19" s="51">
        <v>0</v>
      </c>
      <c r="BI19" s="52">
        <v>0</v>
      </c>
      <c r="BJ19" s="51">
        <v>9</v>
      </c>
      <c r="BK19" s="52">
        <v>100</v>
      </c>
      <c r="BL19" s="51">
        <v>9</v>
      </c>
    </row>
    <row r="20" spans="1:64" ht="45">
      <c r="A20" s="85" t="s">
        <v>225</v>
      </c>
      <c r="B20" s="85" t="s">
        <v>225</v>
      </c>
      <c r="C20" s="53" t="s">
        <v>619</v>
      </c>
      <c r="D20" s="54">
        <v>3</v>
      </c>
      <c r="E20" s="66" t="s">
        <v>132</v>
      </c>
      <c r="F20" s="55">
        <v>35</v>
      </c>
      <c r="G20" s="53"/>
      <c r="H20" s="57"/>
      <c r="I20" s="56"/>
      <c r="J20" s="56"/>
      <c r="K20" s="36" t="s">
        <v>65</v>
      </c>
      <c r="L20" s="84">
        <v>20</v>
      </c>
      <c r="M20" s="84"/>
      <c r="N20" s="63"/>
      <c r="O20" s="87" t="s">
        <v>176</v>
      </c>
      <c r="P20" s="89">
        <v>43487.88290509259</v>
      </c>
      <c r="Q20" s="87" t="s">
        <v>243</v>
      </c>
      <c r="R20" s="91" t="s">
        <v>261</v>
      </c>
      <c r="S20" s="87" t="s">
        <v>274</v>
      </c>
      <c r="T20" s="87"/>
      <c r="U20" s="87"/>
      <c r="V20" s="91" t="s">
        <v>289</v>
      </c>
      <c r="W20" s="89">
        <v>43487.88290509259</v>
      </c>
      <c r="X20" s="91" t="s">
        <v>307</v>
      </c>
      <c r="Y20" s="87"/>
      <c r="Z20" s="87"/>
      <c r="AA20" s="93" t="s">
        <v>325</v>
      </c>
      <c r="AB20" s="87"/>
      <c r="AC20" s="87" t="b">
        <v>0</v>
      </c>
      <c r="AD20" s="87">
        <v>0</v>
      </c>
      <c r="AE20" s="93" t="s">
        <v>326</v>
      </c>
      <c r="AF20" s="87" t="b">
        <v>0</v>
      </c>
      <c r="AG20" s="87" t="s">
        <v>327</v>
      </c>
      <c r="AH20" s="87"/>
      <c r="AI20" s="93" t="s">
        <v>326</v>
      </c>
      <c r="AJ20" s="87" t="b">
        <v>0</v>
      </c>
      <c r="AK20" s="87">
        <v>0</v>
      </c>
      <c r="AL20" s="93" t="s">
        <v>326</v>
      </c>
      <c r="AM20" s="87" t="s">
        <v>329</v>
      </c>
      <c r="AN20" s="87" t="b">
        <v>0</v>
      </c>
      <c r="AO20" s="93" t="s">
        <v>325</v>
      </c>
      <c r="AP20" s="87" t="s">
        <v>176</v>
      </c>
      <c r="AQ20" s="87">
        <v>0</v>
      </c>
      <c r="AR20" s="87">
        <v>0</v>
      </c>
      <c r="AS20" s="87"/>
      <c r="AT20" s="87"/>
      <c r="AU20" s="87"/>
      <c r="AV20" s="87"/>
      <c r="AW20" s="87"/>
      <c r="AX20" s="87"/>
      <c r="AY20" s="87"/>
      <c r="AZ20" s="87"/>
      <c r="BA20">
        <v>1</v>
      </c>
      <c r="BB20" s="86" t="str">
        <f>REPLACE(INDEX(GroupVertices[Group],MATCH(Edges[[#This Row],[Vertex 1]],GroupVertices[Vertex],0)),1,1,"")</f>
        <v>1</v>
      </c>
      <c r="BC20" s="86" t="str">
        <f>REPLACE(INDEX(GroupVertices[Group],MATCH(Edges[[#This Row],[Vertex 2]],GroupVertices[Vertex],0)),1,1,"")</f>
        <v>1</v>
      </c>
      <c r="BD20" s="51">
        <v>0</v>
      </c>
      <c r="BE20" s="52">
        <v>0</v>
      </c>
      <c r="BF20" s="51">
        <v>0</v>
      </c>
      <c r="BG20" s="52">
        <v>0</v>
      </c>
      <c r="BH20" s="51">
        <v>0</v>
      </c>
      <c r="BI20" s="52">
        <v>0</v>
      </c>
      <c r="BJ20" s="51">
        <v>11</v>
      </c>
      <c r="BK20" s="52">
        <v>100</v>
      </c>
      <c r="BL20" s="51">
        <v>11</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0"/>
    <dataValidation allowBlank="1" showErrorMessage="1" sqref="N2:N2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0"/>
    <dataValidation allowBlank="1" showInputMessage="1" promptTitle="Edge Color" prompt="To select an optional edge color, right-click and select Select Color on the right-click menu." sqref="C3:C20"/>
    <dataValidation allowBlank="1" showInputMessage="1" promptTitle="Edge Width" prompt="Enter an optional edge width between 1 and 10." errorTitle="Invalid Edge Width" error="The optional edge width must be a whole number between 1 and 10." sqref="D3:D20"/>
    <dataValidation allowBlank="1" showInputMessage="1" promptTitle="Edge Opacity" prompt="Enter an optional edge opacity between 0 (transparent) and 100 (opaque)." errorTitle="Invalid Edge Opacity" error="The optional edge opacity must be a whole number between 0 and 10." sqref="F3:F2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0">
      <formula1>ValidEdgeVisibilities</formula1>
    </dataValidation>
    <dataValidation allowBlank="1" showInputMessage="1" showErrorMessage="1" promptTitle="Vertex 1 Name" prompt="Enter the name of the edge's first vertex." sqref="A3:A20"/>
    <dataValidation allowBlank="1" showInputMessage="1" showErrorMessage="1" promptTitle="Vertex 2 Name" prompt="Enter the name of the edge's second vertex." sqref="B3:B20"/>
    <dataValidation allowBlank="1" showInputMessage="1" showErrorMessage="1" promptTitle="Edge Label" prompt="Enter an optional edge label." errorTitle="Invalid Edge Visibility" error="You have entered an unrecognized edge visibility.  Try selecting from the drop-down list instead." sqref="H3:H2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0"/>
  </dataValidations>
  <hyperlinks>
    <hyperlink ref="R3" r:id="rId1" display="https://www.dailypolitical.com/?p=2635792"/>
    <hyperlink ref="R4" r:id="rId2" display="https://drumup.io/s/Bd4zLm"/>
    <hyperlink ref="R5" r:id="rId3" display="https://www.dailypolitical.com/2019/01/10/head-to-head-analysis-arc-group-arck-and-xcel-brands-xelb.html"/>
    <hyperlink ref="R6" r:id="rId4" display="https://weekherald.com/?p=3434492"/>
    <hyperlink ref="R7" r:id="rId5" display="http://www.conferencecalltranscripts.org/4/summary2/?id=5663369"/>
    <hyperlink ref="R8" r:id="rId6" display="https://chaffeybreeze.com/?p=2260871"/>
    <hyperlink ref="R9" r:id="rId7" display="http://www.themarketsdaily.com/?p=2179648"/>
    <hyperlink ref="R10" r:id="rId8" display="https://macondaily.com/?p=1474996"/>
    <hyperlink ref="R11" r:id="rId9" display="http://www.transcriptdaily.com/?p=2056136"/>
    <hyperlink ref="R12" r:id="rId10" display="http://www.transcriptdaily.com/?p=2076428"/>
    <hyperlink ref="R13" r:id="rId11" display="https://dakotafinancialnews.com/?p=777866"/>
    <hyperlink ref="R14" r:id="rId12" display="https://www.thestockobserver.com/2019/01/13/zacks-xcel-brands-inc-xelb-given-average-recommendation-of-strong-buy-by-brokerages.html"/>
    <hyperlink ref="R15" r:id="rId13" display="https://www.thestockobserver.com/2019/01/21/xcel-brands-xelb-downgraded-to-hold-at-zacks-investment-research.html"/>
    <hyperlink ref="R16" r:id="rId14" display="https://theenterpriseleader.com/?p=1823032"/>
    <hyperlink ref="R17" r:id="rId15" display="http://theenterpriseleader.com/?p=1823032"/>
    <hyperlink ref="R18" r:id="rId16" display="https://dispatchtribunal.com/?p=2490299"/>
    <hyperlink ref="R19" r:id="rId17" display="https://dispatchtribunal.com/?p=2515014"/>
    <hyperlink ref="R20" r:id="rId18" display="https://baseballnewssource.com/?p=3158071"/>
    <hyperlink ref="V3" r:id="rId19" display="http://pbs.twimg.com/profile_images/433324818658623488/hxhCoePy_normal.jpeg"/>
    <hyperlink ref="V4" r:id="rId20" display="http://pbs.twimg.com/profile_images/1060158056170954752/XDmPUkro_normal.jpg"/>
    <hyperlink ref="V5" r:id="rId21" display="http://pbs.twimg.com/profile_images/1060158056170954752/XDmPUkro_normal.jpg"/>
    <hyperlink ref="V6" r:id="rId22" display="http://pbs.twimg.com/profile_images/888131487710588928/TxnNBLKZ_normal.jpg"/>
    <hyperlink ref="V7" r:id="rId23" display="http://pbs.twimg.com/profile_images/487406679001026560/pubQUS9Z_normal.jpeg"/>
    <hyperlink ref="V8" r:id="rId24" display="http://pbs.twimg.com/profile_images/828754065706274816/bcfoORRd_normal.jpg"/>
    <hyperlink ref="V9" r:id="rId25" display="http://pbs.twimg.com/profile_images/849428984488185857/i3dIvJVS_normal.jpg"/>
    <hyperlink ref="V10" r:id="rId26" display="http://pbs.twimg.com/profile_images/966766832458674176/9rnz8MMA_normal.jpg"/>
    <hyperlink ref="V11" r:id="rId27" display="http://pbs.twimg.com/profile_images/852935198387732480/RZ-jnMw__normal.jpg"/>
    <hyperlink ref="V12" r:id="rId28" display="http://pbs.twimg.com/profile_images/852935198387732480/RZ-jnMw__normal.jpg"/>
    <hyperlink ref="V13" r:id="rId29" display="http://abs.twimg.com/sticky/default_profile_images/default_profile_normal.png"/>
    <hyperlink ref="V14" r:id="rId30" display="http://pbs.twimg.com/profile_images/887064077482065920/iIK7OfFQ_normal.jpg"/>
    <hyperlink ref="V15" r:id="rId31" display="http://pbs.twimg.com/profile_images/887064077482065920/iIK7OfFQ_normal.jpg"/>
    <hyperlink ref="V16" r:id="rId32" display="http://pbs.twimg.com/profile_images/966007162500562945/JE8dLxj__normal.jpg"/>
    <hyperlink ref="V17" r:id="rId33" display="http://pbs.twimg.com/profile_images/949405284031610880/kvSoG2ED_normal.jpg"/>
    <hyperlink ref="V18" r:id="rId34" display="http://pbs.twimg.com/profile_images/901201131174363137/f5XejW6W_normal.jpg"/>
    <hyperlink ref="V19" r:id="rId35" display="http://pbs.twimg.com/profile_images/901201131174363137/f5XejW6W_normal.jpg"/>
    <hyperlink ref="V20" r:id="rId36" display="http://pbs.twimg.com/profile_images/950447991495606272/ru9vq2m9_normal.jpg"/>
    <hyperlink ref="X3" r:id="rId37" display="https://twitter.com/#!/dailypoliticaln/status/1083368059669237760"/>
    <hyperlink ref="X4" r:id="rId38" display="https://twitter.com/#!/anadiobioma/status/1083382967546695680"/>
    <hyperlink ref="X5" r:id="rId39" display="https://twitter.com/#!/anadiobioma/status/1083386988013641728"/>
    <hyperlink ref="X6" r:id="rId40" display="https://twitter.com/#!/weekherald/status/1084538722278952960"/>
    <hyperlink ref="X7" r:id="rId41" display="https://twitter.com/#!/confcalltran/status/1084927527058108416"/>
    <hyperlink ref="X8" r:id="rId42" display="https://twitter.com/#!/chaffeybreeze/status/1085381346653016064"/>
    <hyperlink ref="X9" r:id="rId43" display="https://twitter.com/#!/themarketsdaily/status/1086821925140291585"/>
    <hyperlink ref="X10" r:id="rId44" display="https://twitter.com/#!/macondailynews/status/1086824220603174915"/>
    <hyperlink ref="X11" r:id="rId45" display="https://twitter.com/#!/transcriptdaily/status/1083726598866722816"/>
    <hyperlink ref="X12" r:id="rId46" display="https://twitter.com/#!/transcriptdaily/status/1087053898165207042"/>
    <hyperlink ref="X13" r:id="rId47" display="https://twitter.com/#!/dakotafinancial/status/1087258603759775744"/>
    <hyperlink ref="X14" r:id="rId48" display="https://twitter.com/#!/stocknewstimes/status/1084539365236396032"/>
    <hyperlink ref="X15" r:id="rId49" display="https://twitter.com/#!/stocknewstimes/status/1087258783573782529"/>
    <hyperlink ref="X16" r:id="rId50" display="https://twitter.com/#!/enterpriseleade/status/1087614926905065473"/>
    <hyperlink ref="X17" r:id="rId51" display="https://twitter.com/#!/registrarjourn/status/1087614931032334337"/>
    <hyperlink ref="X18" r:id="rId52" display="https://twitter.com/#!/dispatchtribune/status/1083336028788805632"/>
    <hyperlink ref="X19" r:id="rId53" display="https://twitter.com/#!/dispatchtribune/status/1087615021398532096"/>
    <hyperlink ref="X20" r:id="rId54" display="https://twitter.com/#!/bbnsnews/status/1087820043642175488"/>
  </hyperlinks>
  <printOptions/>
  <pageMargins left="0.7" right="0.7" top="0.75" bottom="0.75" header="0.3" footer="0.3"/>
  <pageSetup horizontalDpi="600" verticalDpi="600" orientation="portrait" r:id="rId58"/>
  <legacyDrawing r:id="rId56"/>
  <tableParts>
    <tablePart r:id="rId57"/>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578</v>
      </c>
      <c r="B1" s="13" t="s">
        <v>589</v>
      </c>
      <c r="C1" s="13" t="s">
        <v>590</v>
      </c>
      <c r="D1" s="13" t="s">
        <v>144</v>
      </c>
      <c r="E1" s="13" t="s">
        <v>592</v>
      </c>
      <c r="F1" s="13" t="s">
        <v>593</v>
      </c>
      <c r="G1" s="13" t="s">
        <v>594</v>
      </c>
    </row>
    <row r="2" spans="1:7" ht="15">
      <c r="A2" s="86" t="s">
        <v>493</v>
      </c>
      <c r="B2" s="86">
        <v>3</v>
      </c>
      <c r="C2" s="124">
        <v>0.015625</v>
      </c>
      <c r="D2" s="86" t="s">
        <v>591</v>
      </c>
      <c r="E2" s="86"/>
      <c r="F2" s="86"/>
      <c r="G2" s="86"/>
    </row>
    <row r="3" spans="1:7" ht="15">
      <c r="A3" s="86" t="s">
        <v>494</v>
      </c>
      <c r="B3" s="86">
        <v>0</v>
      </c>
      <c r="C3" s="124">
        <v>0</v>
      </c>
      <c r="D3" s="86" t="s">
        <v>591</v>
      </c>
      <c r="E3" s="86"/>
      <c r="F3" s="86"/>
      <c r="G3" s="86"/>
    </row>
    <row r="4" spans="1:7" ht="15">
      <c r="A4" s="86" t="s">
        <v>495</v>
      </c>
      <c r="B4" s="86">
        <v>0</v>
      </c>
      <c r="C4" s="124">
        <v>0</v>
      </c>
      <c r="D4" s="86" t="s">
        <v>591</v>
      </c>
      <c r="E4" s="86"/>
      <c r="F4" s="86"/>
      <c r="G4" s="86"/>
    </row>
    <row r="5" spans="1:7" ht="15">
      <c r="A5" s="86" t="s">
        <v>496</v>
      </c>
      <c r="B5" s="86">
        <v>189</v>
      </c>
      <c r="C5" s="124">
        <v>0.984375</v>
      </c>
      <c r="D5" s="86" t="s">
        <v>591</v>
      </c>
      <c r="E5" s="86"/>
      <c r="F5" s="86"/>
      <c r="G5" s="86"/>
    </row>
    <row r="6" spans="1:7" ht="15">
      <c r="A6" s="86" t="s">
        <v>497</v>
      </c>
      <c r="B6" s="86">
        <v>192</v>
      </c>
      <c r="C6" s="124">
        <v>1</v>
      </c>
      <c r="D6" s="86" t="s">
        <v>591</v>
      </c>
      <c r="E6" s="86"/>
      <c r="F6" s="86"/>
      <c r="G6" s="86"/>
    </row>
    <row r="7" spans="1:7" ht="15">
      <c r="A7" s="92" t="s">
        <v>498</v>
      </c>
      <c r="B7" s="92">
        <v>18</v>
      </c>
      <c r="C7" s="125">
        <v>0</v>
      </c>
      <c r="D7" s="92" t="s">
        <v>591</v>
      </c>
      <c r="E7" s="92" t="b">
        <v>0</v>
      </c>
      <c r="F7" s="92" t="b">
        <v>0</v>
      </c>
      <c r="G7" s="92" t="b">
        <v>0</v>
      </c>
    </row>
    <row r="8" spans="1:7" ht="15">
      <c r="A8" s="92" t="s">
        <v>499</v>
      </c>
      <c r="B8" s="92">
        <v>18</v>
      </c>
      <c r="C8" s="125">
        <v>0</v>
      </c>
      <c r="D8" s="92" t="s">
        <v>591</v>
      </c>
      <c r="E8" s="92" t="b">
        <v>0</v>
      </c>
      <c r="F8" s="92" t="b">
        <v>0</v>
      </c>
      <c r="G8" s="92" t="b">
        <v>0</v>
      </c>
    </row>
    <row r="9" spans="1:7" ht="15">
      <c r="A9" s="92" t="s">
        <v>500</v>
      </c>
      <c r="B9" s="92">
        <v>18</v>
      </c>
      <c r="C9" s="125">
        <v>0</v>
      </c>
      <c r="D9" s="92" t="s">
        <v>591</v>
      </c>
      <c r="E9" s="92" t="b">
        <v>0</v>
      </c>
      <c r="F9" s="92" t="b">
        <v>0</v>
      </c>
      <c r="G9" s="92" t="b">
        <v>0</v>
      </c>
    </row>
    <row r="10" spans="1:7" ht="15">
      <c r="A10" s="92" t="s">
        <v>501</v>
      </c>
      <c r="B10" s="92">
        <v>11</v>
      </c>
      <c r="C10" s="125">
        <v>0.01443360748095639</v>
      </c>
      <c r="D10" s="92" t="s">
        <v>591</v>
      </c>
      <c r="E10" s="92" t="b">
        <v>0</v>
      </c>
      <c r="F10" s="92" t="b">
        <v>0</v>
      </c>
      <c r="G10" s="92" t="b">
        <v>0</v>
      </c>
    </row>
    <row r="11" spans="1:7" ht="15">
      <c r="A11" s="92" t="s">
        <v>502</v>
      </c>
      <c r="B11" s="92">
        <v>9</v>
      </c>
      <c r="C11" s="125">
        <v>0.0166212881041462</v>
      </c>
      <c r="D11" s="92" t="s">
        <v>591</v>
      </c>
      <c r="E11" s="92" t="b">
        <v>0</v>
      </c>
      <c r="F11" s="92" t="b">
        <v>0</v>
      </c>
      <c r="G11" s="92" t="b">
        <v>0</v>
      </c>
    </row>
    <row r="12" spans="1:7" ht="15">
      <c r="A12" s="92" t="s">
        <v>504</v>
      </c>
      <c r="B12" s="92">
        <v>9</v>
      </c>
      <c r="C12" s="125">
        <v>0.0166212881041462</v>
      </c>
      <c r="D12" s="92" t="s">
        <v>591</v>
      </c>
      <c r="E12" s="92" t="b">
        <v>0</v>
      </c>
      <c r="F12" s="92" t="b">
        <v>0</v>
      </c>
      <c r="G12" s="92" t="b">
        <v>0</v>
      </c>
    </row>
    <row r="13" spans="1:7" ht="15">
      <c r="A13" s="92" t="s">
        <v>505</v>
      </c>
      <c r="B13" s="92">
        <v>8</v>
      </c>
      <c r="C13" s="125">
        <v>0.017285031563747853</v>
      </c>
      <c r="D13" s="92" t="s">
        <v>591</v>
      </c>
      <c r="E13" s="92" t="b">
        <v>0</v>
      </c>
      <c r="F13" s="92" t="b">
        <v>0</v>
      </c>
      <c r="G13" s="92" t="b">
        <v>0</v>
      </c>
    </row>
    <row r="14" spans="1:7" ht="15">
      <c r="A14" s="92" t="s">
        <v>506</v>
      </c>
      <c r="B14" s="92">
        <v>6</v>
      </c>
      <c r="C14" s="125">
        <v>0.02864360430860038</v>
      </c>
      <c r="D14" s="92" t="s">
        <v>591</v>
      </c>
      <c r="E14" s="92" t="b">
        <v>0</v>
      </c>
      <c r="F14" s="92" t="b">
        <v>0</v>
      </c>
      <c r="G14" s="92" t="b">
        <v>0</v>
      </c>
    </row>
    <row r="15" spans="1:7" ht="15">
      <c r="A15" s="92" t="s">
        <v>507</v>
      </c>
      <c r="B15" s="92">
        <v>5</v>
      </c>
      <c r="C15" s="125">
        <v>0.017064493888567095</v>
      </c>
      <c r="D15" s="92" t="s">
        <v>591</v>
      </c>
      <c r="E15" s="92" t="b">
        <v>0</v>
      </c>
      <c r="F15" s="92" t="b">
        <v>0</v>
      </c>
      <c r="G15" s="92" t="b">
        <v>0</v>
      </c>
    </row>
    <row r="16" spans="1:7" ht="15">
      <c r="A16" s="92" t="s">
        <v>579</v>
      </c>
      <c r="B16" s="92">
        <v>4</v>
      </c>
      <c r="C16" s="125">
        <v>0.01602975493927224</v>
      </c>
      <c r="D16" s="92" t="s">
        <v>591</v>
      </c>
      <c r="E16" s="92" t="b">
        <v>0</v>
      </c>
      <c r="F16" s="92" t="b">
        <v>0</v>
      </c>
      <c r="G16" s="92" t="b">
        <v>0</v>
      </c>
    </row>
    <row r="17" spans="1:7" ht="15">
      <c r="A17" s="92" t="s">
        <v>508</v>
      </c>
      <c r="B17" s="92">
        <v>4</v>
      </c>
      <c r="C17" s="125">
        <v>0.01602975493927224</v>
      </c>
      <c r="D17" s="92" t="s">
        <v>591</v>
      </c>
      <c r="E17" s="92" t="b">
        <v>0</v>
      </c>
      <c r="F17" s="92" t="b">
        <v>0</v>
      </c>
      <c r="G17" s="92" t="b">
        <v>0</v>
      </c>
    </row>
    <row r="18" spans="1:7" ht="15">
      <c r="A18" s="92" t="s">
        <v>580</v>
      </c>
      <c r="B18" s="92">
        <v>3</v>
      </c>
      <c r="C18" s="125">
        <v>0.01432180215430019</v>
      </c>
      <c r="D18" s="92" t="s">
        <v>591</v>
      </c>
      <c r="E18" s="92" t="b">
        <v>0</v>
      </c>
      <c r="F18" s="92" t="b">
        <v>0</v>
      </c>
      <c r="G18" s="92" t="b">
        <v>0</v>
      </c>
    </row>
    <row r="19" spans="1:7" ht="15">
      <c r="A19" s="92" t="s">
        <v>581</v>
      </c>
      <c r="B19" s="92">
        <v>3</v>
      </c>
      <c r="C19" s="125">
        <v>0.01432180215430019</v>
      </c>
      <c r="D19" s="92" t="s">
        <v>591</v>
      </c>
      <c r="E19" s="92" t="b">
        <v>0</v>
      </c>
      <c r="F19" s="92" t="b">
        <v>0</v>
      </c>
      <c r="G19" s="92" t="b">
        <v>0</v>
      </c>
    </row>
    <row r="20" spans="1:7" ht="15">
      <c r="A20" s="92" t="s">
        <v>582</v>
      </c>
      <c r="B20" s="92">
        <v>3</v>
      </c>
      <c r="C20" s="125">
        <v>0.01432180215430019</v>
      </c>
      <c r="D20" s="92" t="s">
        <v>591</v>
      </c>
      <c r="E20" s="92" t="b">
        <v>0</v>
      </c>
      <c r="F20" s="92" t="b">
        <v>0</v>
      </c>
      <c r="G20" s="92" t="b">
        <v>0</v>
      </c>
    </row>
    <row r="21" spans="1:7" ht="15">
      <c r="A21" s="92" t="s">
        <v>583</v>
      </c>
      <c r="B21" s="92">
        <v>3</v>
      </c>
      <c r="C21" s="125">
        <v>0.01432180215430019</v>
      </c>
      <c r="D21" s="92" t="s">
        <v>591</v>
      </c>
      <c r="E21" s="92" t="b">
        <v>0</v>
      </c>
      <c r="F21" s="92" t="b">
        <v>0</v>
      </c>
      <c r="G21" s="92" t="b">
        <v>0</v>
      </c>
    </row>
    <row r="22" spans="1:7" ht="15">
      <c r="A22" s="92" t="s">
        <v>584</v>
      </c>
      <c r="B22" s="92">
        <v>3</v>
      </c>
      <c r="C22" s="125">
        <v>0.01432180215430019</v>
      </c>
      <c r="D22" s="92" t="s">
        <v>591</v>
      </c>
      <c r="E22" s="92" t="b">
        <v>0</v>
      </c>
      <c r="F22" s="92" t="b">
        <v>0</v>
      </c>
      <c r="G22" s="92" t="b">
        <v>0</v>
      </c>
    </row>
    <row r="23" spans="1:7" ht="15">
      <c r="A23" s="92" t="s">
        <v>585</v>
      </c>
      <c r="B23" s="92">
        <v>3</v>
      </c>
      <c r="C23" s="125">
        <v>0.01432180215430019</v>
      </c>
      <c r="D23" s="92" t="s">
        <v>591</v>
      </c>
      <c r="E23" s="92" t="b">
        <v>0</v>
      </c>
      <c r="F23" s="92" t="b">
        <v>0</v>
      </c>
      <c r="G23" s="92" t="b">
        <v>0</v>
      </c>
    </row>
    <row r="24" spans="1:7" ht="15">
      <c r="A24" s="92" t="s">
        <v>586</v>
      </c>
      <c r="B24" s="92">
        <v>2</v>
      </c>
      <c r="C24" s="125">
        <v>0.011708497048335275</v>
      </c>
      <c r="D24" s="92" t="s">
        <v>591</v>
      </c>
      <c r="E24" s="92" t="b">
        <v>0</v>
      </c>
      <c r="F24" s="92" t="b">
        <v>0</v>
      </c>
      <c r="G24" s="92" t="b">
        <v>0</v>
      </c>
    </row>
    <row r="25" spans="1:7" ht="15">
      <c r="A25" s="92" t="s">
        <v>587</v>
      </c>
      <c r="B25" s="92">
        <v>2</v>
      </c>
      <c r="C25" s="125">
        <v>0.011708497048335275</v>
      </c>
      <c r="D25" s="92" t="s">
        <v>591</v>
      </c>
      <c r="E25" s="92" t="b">
        <v>0</v>
      </c>
      <c r="F25" s="92" t="b">
        <v>0</v>
      </c>
      <c r="G25" s="92" t="b">
        <v>0</v>
      </c>
    </row>
    <row r="26" spans="1:7" ht="15">
      <c r="A26" s="92" t="s">
        <v>588</v>
      </c>
      <c r="B26" s="92">
        <v>2</v>
      </c>
      <c r="C26" s="125">
        <v>0.011708497048335275</v>
      </c>
      <c r="D26" s="92" t="s">
        <v>591</v>
      </c>
      <c r="E26" s="92" t="b">
        <v>1</v>
      </c>
      <c r="F26" s="92" t="b">
        <v>0</v>
      </c>
      <c r="G26" s="92" t="b">
        <v>0</v>
      </c>
    </row>
    <row r="27" spans="1:7" ht="15">
      <c r="A27" s="92" t="s">
        <v>498</v>
      </c>
      <c r="B27" s="92">
        <v>18</v>
      </c>
      <c r="C27" s="125">
        <v>0</v>
      </c>
      <c r="D27" s="92" t="s">
        <v>465</v>
      </c>
      <c r="E27" s="92" t="b">
        <v>0</v>
      </c>
      <c r="F27" s="92" t="b">
        <v>0</v>
      </c>
      <c r="G27" s="92" t="b">
        <v>0</v>
      </c>
    </row>
    <row r="28" spans="1:7" ht="15">
      <c r="A28" s="92" t="s">
        <v>499</v>
      </c>
      <c r="B28" s="92">
        <v>18</v>
      </c>
      <c r="C28" s="125">
        <v>0</v>
      </c>
      <c r="D28" s="92" t="s">
        <v>465</v>
      </c>
      <c r="E28" s="92" t="b">
        <v>0</v>
      </c>
      <c r="F28" s="92" t="b">
        <v>0</v>
      </c>
      <c r="G28" s="92" t="b">
        <v>0</v>
      </c>
    </row>
    <row r="29" spans="1:7" ht="15">
      <c r="A29" s="92" t="s">
        <v>500</v>
      </c>
      <c r="B29" s="92">
        <v>18</v>
      </c>
      <c r="C29" s="125">
        <v>0</v>
      </c>
      <c r="D29" s="92" t="s">
        <v>465</v>
      </c>
      <c r="E29" s="92" t="b">
        <v>0</v>
      </c>
      <c r="F29" s="92" t="b">
        <v>0</v>
      </c>
      <c r="G29" s="92" t="b">
        <v>0</v>
      </c>
    </row>
    <row r="30" spans="1:7" ht="15">
      <c r="A30" s="92" t="s">
        <v>501</v>
      </c>
      <c r="B30" s="92">
        <v>11</v>
      </c>
      <c r="C30" s="125">
        <v>0.01443360748095639</v>
      </c>
      <c r="D30" s="92" t="s">
        <v>465</v>
      </c>
      <c r="E30" s="92" t="b">
        <v>0</v>
      </c>
      <c r="F30" s="92" t="b">
        <v>0</v>
      </c>
      <c r="G30" s="92" t="b">
        <v>0</v>
      </c>
    </row>
    <row r="31" spans="1:7" ht="15">
      <c r="A31" s="92" t="s">
        <v>502</v>
      </c>
      <c r="B31" s="92">
        <v>9</v>
      </c>
      <c r="C31" s="125">
        <v>0.0166212881041462</v>
      </c>
      <c r="D31" s="92" t="s">
        <v>465</v>
      </c>
      <c r="E31" s="92" t="b">
        <v>0</v>
      </c>
      <c r="F31" s="92" t="b">
        <v>0</v>
      </c>
      <c r="G31" s="92" t="b">
        <v>0</v>
      </c>
    </row>
    <row r="32" spans="1:7" ht="15">
      <c r="A32" s="92" t="s">
        <v>504</v>
      </c>
      <c r="B32" s="92">
        <v>9</v>
      </c>
      <c r="C32" s="125">
        <v>0.0166212881041462</v>
      </c>
      <c r="D32" s="92" t="s">
        <v>465</v>
      </c>
      <c r="E32" s="92" t="b">
        <v>0</v>
      </c>
      <c r="F32" s="92" t="b">
        <v>0</v>
      </c>
      <c r="G32" s="92" t="b">
        <v>0</v>
      </c>
    </row>
    <row r="33" spans="1:7" ht="15">
      <c r="A33" s="92" t="s">
        <v>505</v>
      </c>
      <c r="B33" s="92">
        <v>8</v>
      </c>
      <c r="C33" s="125">
        <v>0.017285031563747853</v>
      </c>
      <c r="D33" s="92" t="s">
        <v>465</v>
      </c>
      <c r="E33" s="92" t="b">
        <v>0</v>
      </c>
      <c r="F33" s="92" t="b">
        <v>0</v>
      </c>
      <c r="G33" s="92" t="b">
        <v>0</v>
      </c>
    </row>
    <row r="34" spans="1:7" ht="15">
      <c r="A34" s="92" t="s">
        <v>506</v>
      </c>
      <c r="B34" s="92">
        <v>6</v>
      </c>
      <c r="C34" s="125">
        <v>0.02864360430860038</v>
      </c>
      <c r="D34" s="92" t="s">
        <v>465</v>
      </c>
      <c r="E34" s="92" t="b">
        <v>0</v>
      </c>
      <c r="F34" s="92" t="b">
        <v>0</v>
      </c>
      <c r="G34" s="92" t="b">
        <v>0</v>
      </c>
    </row>
    <row r="35" spans="1:7" ht="15">
      <c r="A35" s="92" t="s">
        <v>507</v>
      </c>
      <c r="B35" s="92">
        <v>5</v>
      </c>
      <c r="C35" s="125">
        <v>0.017064493888567095</v>
      </c>
      <c r="D35" s="92" t="s">
        <v>465</v>
      </c>
      <c r="E35" s="92" t="b">
        <v>0</v>
      </c>
      <c r="F35" s="92" t="b">
        <v>0</v>
      </c>
      <c r="G35" s="92" t="b">
        <v>0</v>
      </c>
    </row>
    <row r="36" spans="1:7" ht="15">
      <c r="A36" s="92" t="s">
        <v>508</v>
      </c>
      <c r="B36" s="92">
        <v>4</v>
      </c>
      <c r="C36" s="125">
        <v>0.01602975493927224</v>
      </c>
      <c r="D36" s="92" t="s">
        <v>465</v>
      </c>
      <c r="E36" s="92" t="b">
        <v>0</v>
      </c>
      <c r="F36" s="92" t="b">
        <v>0</v>
      </c>
      <c r="G36" s="92" t="b">
        <v>0</v>
      </c>
    </row>
    <row r="37" spans="1:7" ht="15">
      <c r="A37" s="92" t="s">
        <v>579</v>
      </c>
      <c r="B37" s="92">
        <v>4</v>
      </c>
      <c r="C37" s="125">
        <v>0.01602975493927224</v>
      </c>
      <c r="D37" s="92" t="s">
        <v>465</v>
      </c>
      <c r="E37" s="92" t="b">
        <v>0</v>
      </c>
      <c r="F37" s="92" t="b">
        <v>0</v>
      </c>
      <c r="G37" s="92" t="b">
        <v>0</v>
      </c>
    </row>
    <row r="38" spans="1:7" ht="15">
      <c r="A38" s="92" t="s">
        <v>582</v>
      </c>
      <c r="B38" s="92">
        <v>3</v>
      </c>
      <c r="C38" s="125">
        <v>0.01432180215430019</v>
      </c>
      <c r="D38" s="92" t="s">
        <v>465</v>
      </c>
      <c r="E38" s="92" t="b">
        <v>0</v>
      </c>
      <c r="F38" s="92" t="b">
        <v>0</v>
      </c>
      <c r="G38" s="92" t="b">
        <v>0</v>
      </c>
    </row>
    <row r="39" spans="1:7" ht="15">
      <c r="A39" s="92" t="s">
        <v>583</v>
      </c>
      <c r="B39" s="92">
        <v>3</v>
      </c>
      <c r="C39" s="125">
        <v>0.01432180215430019</v>
      </c>
      <c r="D39" s="92" t="s">
        <v>465</v>
      </c>
      <c r="E39" s="92" t="b">
        <v>0</v>
      </c>
      <c r="F39" s="92" t="b">
        <v>0</v>
      </c>
      <c r="G39" s="92" t="b">
        <v>0</v>
      </c>
    </row>
    <row r="40" spans="1:7" ht="15">
      <c r="A40" s="92" t="s">
        <v>584</v>
      </c>
      <c r="B40" s="92">
        <v>3</v>
      </c>
      <c r="C40" s="125">
        <v>0.01432180215430019</v>
      </c>
      <c r="D40" s="92" t="s">
        <v>465</v>
      </c>
      <c r="E40" s="92" t="b">
        <v>0</v>
      </c>
      <c r="F40" s="92" t="b">
        <v>0</v>
      </c>
      <c r="G40" s="92" t="b">
        <v>0</v>
      </c>
    </row>
    <row r="41" spans="1:7" ht="15">
      <c r="A41" s="92" t="s">
        <v>585</v>
      </c>
      <c r="B41" s="92">
        <v>3</v>
      </c>
      <c r="C41" s="125">
        <v>0.01432180215430019</v>
      </c>
      <c r="D41" s="92" t="s">
        <v>465</v>
      </c>
      <c r="E41" s="92" t="b">
        <v>0</v>
      </c>
      <c r="F41" s="92" t="b">
        <v>0</v>
      </c>
      <c r="G41" s="92" t="b">
        <v>0</v>
      </c>
    </row>
    <row r="42" spans="1:7" ht="15">
      <c r="A42" s="92" t="s">
        <v>580</v>
      </c>
      <c r="B42" s="92">
        <v>3</v>
      </c>
      <c r="C42" s="125">
        <v>0.01432180215430019</v>
      </c>
      <c r="D42" s="92" t="s">
        <v>465</v>
      </c>
      <c r="E42" s="92" t="b">
        <v>0</v>
      </c>
      <c r="F42" s="92" t="b">
        <v>0</v>
      </c>
      <c r="G42" s="92" t="b">
        <v>0</v>
      </c>
    </row>
    <row r="43" spans="1:7" ht="15">
      <c r="A43" s="92" t="s">
        <v>581</v>
      </c>
      <c r="B43" s="92">
        <v>3</v>
      </c>
      <c r="C43" s="125">
        <v>0.01432180215430019</v>
      </c>
      <c r="D43" s="92" t="s">
        <v>465</v>
      </c>
      <c r="E43" s="92" t="b">
        <v>0</v>
      </c>
      <c r="F43" s="92" t="b">
        <v>0</v>
      </c>
      <c r="G43" s="92" t="b">
        <v>0</v>
      </c>
    </row>
    <row r="44" spans="1:7" ht="15">
      <c r="A44" s="92" t="s">
        <v>587</v>
      </c>
      <c r="B44" s="92">
        <v>2</v>
      </c>
      <c r="C44" s="125">
        <v>0.011708497048335275</v>
      </c>
      <c r="D44" s="92" t="s">
        <v>465</v>
      </c>
      <c r="E44" s="92" t="b">
        <v>0</v>
      </c>
      <c r="F44" s="92" t="b">
        <v>0</v>
      </c>
      <c r="G44" s="92" t="b">
        <v>0</v>
      </c>
    </row>
    <row r="45" spans="1:7" ht="15">
      <c r="A45" s="92" t="s">
        <v>586</v>
      </c>
      <c r="B45" s="92">
        <v>2</v>
      </c>
      <c r="C45" s="125">
        <v>0.011708497048335275</v>
      </c>
      <c r="D45" s="92" t="s">
        <v>465</v>
      </c>
      <c r="E45" s="92" t="b">
        <v>0</v>
      </c>
      <c r="F45" s="92" t="b">
        <v>0</v>
      </c>
      <c r="G45" s="92" t="b">
        <v>0</v>
      </c>
    </row>
    <row r="46" spans="1:7" ht="15">
      <c r="A46" s="92" t="s">
        <v>588</v>
      </c>
      <c r="B46" s="92">
        <v>2</v>
      </c>
      <c r="C46" s="125">
        <v>0.011708497048335275</v>
      </c>
      <c r="D46" s="92" t="s">
        <v>465</v>
      </c>
      <c r="E46" s="92" t="b">
        <v>1</v>
      </c>
      <c r="F46" s="92" t="b">
        <v>0</v>
      </c>
      <c r="G46" s="92"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595</v>
      </c>
      <c r="B1" s="13" t="s">
        <v>596</v>
      </c>
      <c r="C1" s="13" t="s">
        <v>589</v>
      </c>
      <c r="D1" s="13" t="s">
        <v>590</v>
      </c>
      <c r="E1" s="13" t="s">
        <v>597</v>
      </c>
      <c r="F1" s="13" t="s">
        <v>144</v>
      </c>
      <c r="G1" s="13" t="s">
        <v>598</v>
      </c>
      <c r="H1" s="13" t="s">
        <v>599</v>
      </c>
      <c r="I1" s="13" t="s">
        <v>600</v>
      </c>
      <c r="J1" s="13" t="s">
        <v>601</v>
      </c>
      <c r="K1" s="13" t="s">
        <v>602</v>
      </c>
      <c r="L1" s="13" t="s">
        <v>603</v>
      </c>
    </row>
    <row r="2" spans="1:12" ht="15">
      <c r="A2" s="92" t="s">
        <v>498</v>
      </c>
      <c r="B2" s="92" t="s">
        <v>499</v>
      </c>
      <c r="C2" s="92">
        <v>18</v>
      </c>
      <c r="D2" s="125">
        <v>0</v>
      </c>
      <c r="E2" s="125">
        <v>0.9060954971316688</v>
      </c>
      <c r="F2" s="92" t="s">
        <v>591</v>
      </c>
      <c r="G2" s="92" t="b">
        <v>0</v>
      </c>
      <c r="H2" s="92" t="b">
        <v>0</v>
      </c>
      <c r="I2" s="92" t="b">
        <v>0</v>
      </c>
      <c r="J2" s="92" t="b">
        <v>0</v>
      </c>
      <c r="K2" s="92" t="b">
        <v>0</v>
      </c>
      <c r="L2" s="92" t="b">
        <v>0</v>
      </c>
    </row>
    <row r="3" spans="1:12" ht="15">
      <c r="A3" s="92" t="s">
        <v>499</v>
      </c>
      <c r="B3" s="92" t="s">
        <v>500</v>
      </c>
      <c r="C3" s="92">
        <v>13</v>
      </c>
      <c r="D3" s="125">
        <v>0.011271650223031292</v>
      </c>
      <c r="E3" s="125">
        <v>0.7647663443351995</v>
      </c>
      <c r="F3" s="92" t="s">
        <v>591</v>
      </c>
      <c r="G3" s="92" t="b">
        <v>0</v>
      </c>
      <c r="H3" s="92" t="b">
        <v>0</v>
      </c>
      <c r="I3" s="92" t="b">
        <v>0</v>
      </c>
      <c r="J3" s="92" t="b">
        <v>0</v>
      </c>
      <c r="K3" s="92" t="b">
        <v>0</v>
      </c>
      <c r="L3" s="92" t="b">
        <v>0</v>
      </c>
    </row>
    <row r="4" spans="1:12" ht="15">
      <c r="A4" s="92" t="s">
        <v>501</v>
      </c>
      <c r="B4" s="92" t="s">
        <v>502</v>
      </c>
      <c r="C4" s="92">
        <v>9</v>
      </c>
      <c r="D4" s="125">
        <v>0.0166212881041462</v>
      </c>
      <c r="E4" s="125">
        <v>1.11997531707675</v>
      </c>
      <c r="F4" s="92" t="s">
        <v>591</v>
      </c>
      <c r="G4" s="92" t="b">
        <v>0</v>
      </c>
      <c r="H4" s="92" t="b">
        <v>0</v>
      </c>
      <c r="I4" s="92" t="b">
        <v>0</v>
      </c>
      <c r="J4" s="92" t="b">
        <v>0</v>
      </c>
      <c r="K4" s="92" t="b">
        <v>0</v>
      </c>
      <c r="L4" s="92" t="b">
        <v>0</v>
      </c>
    </row>
    <row r="5" spans="1:12" ht="15">
      <c r="A5" s="92" t="s">
        <v>502</v>
      </c>
      <c r="B5" s="92" t="s">
        <v>504</v>
      </c>
      <c r="C5" s="92">
        <v>9</v>
      </c>
      <c r="D5" s="125">
        <v>0.0166212881041462</v>
      </c>
      <c r="E5" s="125">
        <v>1.20712549279565</v>
      </c>
      <c r="F5" s="92" t="s">
        <v>591</v>
      </c>
      <c r="G5" s="92" t="b">
        <v>0</v>
      </c>
      <c r="H5" s="92" t="b">
        <v>0</v>
      </c>
      <c r="I5" s="92" t="b">
        <v>0</v>
      </c>
      <c r="J5" s="92" t="b">
        <v>0</v>
      </c>
      <c r="K5" s="92" t="b">
        <v>0</v>
      </c>
      <c r="L5" s="92" t="b">
        <v>0</v>
      </c>
    </row>
    <row r="6" spans="1:12" ht="15">
      <c r="A6" s="92" t="s">
        <v>499</v>
      </c>
      <c r="B6" s="92" t="s">
        <v>507</v>
      </c>
      <c r="C6" s="92">
        <v>5</v>
      </c>
      <c r="D6" s="125">
        <v>0.017064493888567095</v>
      </c>
      <c r="E6" s="125">
        <v>0.9060954971316688</v>
      </c>
      <c r="F6" s="92" t="s">
        <v>591</v>
      </c>
      <c r="G6" s="92" t="b">
        <v>0</v>
      </c>
      <c r="H6" s="92" t="b">
        <v>0</v>
      </c>
      <c r="I6" s="92" t="b">
        <v>0</v>
      </c>
      <c r="J6" s="92" t="b">
        <v>0</v>
      </c>
      <c r="K6" s="92" t="b">
        <v>0</v>
      </c>
      <c r="L6" s="92" t="b">
        <v>0</v>
      </c>
    </row>
    <row r="7" spans="1:12" ht="15">
      <c r="A7" s="92" t="s">
        <v>500</v>
      </c>
      <c r="B7" s="92" t="s">
        <v>505</v>
      </c>
      <c r="C7" s="92">
        <v>4</v>
      </c>
      <c r="D7" s="125">
        <v>0.01602975493927224</v>
      </c>
      <c r="E7" s="125">
        <v>0.7142099708927557</v>
      </c>
      <c r="F7" s="92" t="s">
        <v>591</v>
      </c>
      <c r="G7" s="92" t="b">
        <v>0</v>
      </c>
      <c r="H7" s="92" t="b">
        <v>0</v>
      </c>
      <c r="I7" s="92" t="b">
        <v>0</v>
      </c>
      <c r="J7" s="92" t="b">
        <v>0</v>
      </c>
      <c r="K7" s="92" t="b">
        <v>0</v>
      </c>
      <c r="L7" s="92" t="b">
        <v>0</v>
      </c>
    </row>
    <row r="8" spans="1:12" ht="15">
      <c r="A8" s="92" t="s">
        <v>500</v>
      </c>
      <c r="B8" s="92" t="s">
        <v>579</v>
      </c>
      <c r="C8" s="92">
        <v>4</v>
      </c>
      <c r="D8" s="125">
        <v>0.01602975493927224</v>
      </c>
      <c r="E8" s="125">
        <v>1.0152399665567369</v>
      </c>
      <c r="F8" s="92" t="s">
        <v>591</v>
      </c>
      <c r="G8" s="92" t="b">
        <v>0</v>
      </c>
      <c r="H8" s="92" t="b">
        <v>0</v>
      </c>
      <c r="I8" s="92" t="b">
        <v>0</v>
      </c>
      <c r="J8" s="92" t="b">
        <v>0</v>
      </c>
      <c r="K8" s="92" t="b">
        <v>0</v>
      </c>
      <c r="L8" s="92" t="b">
        <v>0</v>
      </c>
    </row>
    <row r="9" spans="1:12" ht="15">
      <c r="A9" s="92" t="s">
        <v>579</v>
      </c>
      <c r="B9" s="92" t="s">
        <v>505</v>
      </c>
      <c r="C9" s="92">
        <v>4</v>
      </c>
      <c r="D9" s="125">
        <v>0.01602975493927224</v>
      </c>
      <c r="E9" s="125">
        <v>1.2582780152430313</v>
      </c>
      <c r="F9" s="92" t="s">
        <v>591</v>
      </c>
      <c r="G9" s="92" t="b">
        <v>0</v>
      </c>
      <c r="H9" s="92" t="b">
        <v>0</v>
      </c>
      <c r="I9" s="92" t="b">
        <v>0</v>
      </c>
      <c r="J9" s="92" t="b">
        <v>0</v>
      </c>
      <c r="K9" s="92" t="b">
        <v>0</v>
      </c>
      <c r="L9" s="92" t="b">
        <v>0</v>
      </c>
    </row>
    <row r="10" spans="1:12" ht="15">
      <c r="A10" s="92" t="s">
        <v>505</v>
      </c>
      <c r="B10" s="92" t="s">
        <v>501</v>
      </c>
      <c r="C10" s="92">
        <v>4</v>
      </c>
      <c r="D10" s="125">
        <v>0.01602975493927224</v>
      </c>
      <c r="E10" s="125">
        <v>1.462397997898956</v>
      </c>
      <c r="F10" s="92" t="s">
        <v>591</v>
      </c>
      <c r="G10" s="92" t="b">
        <v>0</v>
      </c>
      <c r="H10" s="92" t="b">
        <v>0</v>
      </c>
      <c r="I10" s="92" t="b">
        <v>0</v>
      </c>
      <c r="J10" s="92" t="b">
        <v>0</v>
      </c>
      <c r="K10" s="92" t="b">
        <v>0</v>
      </c>
      <c r="L10" s="92" t="b">
        <v>0</v>
      </c>
    </row>
    <row r="11" spans="1:12" ht="15">
      <c r="A11" s="92" t="s">
        <v>507</v>
      </c>
      <c r="B11" s="92" t="s">
        <v>500</v>
      </c>
      <c r="C11" s="92">
        <v>4</v>
      </c>
      <c r="D11" s="125">
        <v>0.01602975493927224</v>
      </c>
      <c r="E11" s="125">
        <v>0.8091854841236125</v>
      </c>
      <c r="F11" s="92" t="s">
        <v>591</v>
      </c>
      <c r="G11" s="92" t="b">
        <v>0</v>
      </c>
      <c r="H11" s="92" t="b">
        <v>0</v>
      </c>
      <c r="I11" s="92" t="b">
        <v>0</v>
      </c>
      <c r="J11" s="92" t="b">
        <v>0</v>
      </c>
      <c r="K11" s="92" t="b">
        <v>0</v>
      </c>
      <c r="L11" s="92" t="b">
        <v>0</v>
      </c>
    </row>
    <row r="12" spans="1:12" ht="15">
      <c r="A12" s="92" t="s">
        <v>504</v>
      </c>
      <c r="B12" s="92" t="s">
        <v>581</v>
      </c>
      <c r="C12" s="92">
        <v>3</v>
      </c>
      <c r="D12" s="125">
        <v>0.01432180215430019</v>
      </c>
      <c r="E12" s="125">
        <v>1.5593080109070125</v>
      </c>
      <c r="F12" s="92" t="s">
        <v>591</v>
      </c>
      <c r="G12" s="92" t="b">
        <v>0</v>
      </c>
      <c r="H12" s="92" t="b">
        <v>0</v>
      </c>
      <c r="I12" s="92" t="b">
        <v>0</v>
      </c>
      <c r="J12" s="92" t="b">
        <v>0</v>
      </c>
      <c r="K12" s="92" t="b">
        <v>0</v>
      </c>
      <c r="L12" s="92" t="b">
        <v>0</v>
      </c>
    </row>
    <row r="13" spans="1:12" ht="15">
      <c r="A13" s="92" t="s">
        <v>581</v>
      </c>
      <c r="B13" s="92" t="s">
        <v>498</v>
      </c>
      <c r="C13" s="92">
        <v>3</v>
      </c>
      <c r="D13" s="125">
        <v>0.01432180215430019</v>
      </c>
      <c r="E13" s="125">
        <v>1.11997531707675</v>
      </c>
      <c r="F13" s="92" t="s">
        <v>591</v>
      </c>
      <c r="G13" s="92" t="b">
        <v>0</v>
      </c>
      <c r="H13" s="92" t="b">
        <v>0</v>
      </c>
      <c r="I13" s="92" t="b">
        <v>0</v>
      </c>
      <c r="J13" s="92" t="b">
        <v>0</v>
      </c>
      <c r="K13" s="92" t="b">
        <v>0</v>
      </c>
      <c r="L13" s="92" t="b">
        <v>0</v>
      </c>
    </row>
    <row r="14" spans="1:12" ht="15">
      <c r="A14" s="92" t="s">
        <v>506</v>
      </c>
      <c r="B14" s="92" t="s">
        <v>506</v>
      </c>
      <c r="C14" s="92">
        <v>3</v>
      </c>
      <c r="D14" s="125">
        <v>0.01432180215430019</v>
      </c>
      <c r="E14" s="125">
        <v>1.3832167518513312</v>
      </c>
      <c r="F14" s="92" t="s">
        <v>591</v>
      </c>
      <c r="G14" s="92" t="b">
        <v>0</v>
      </c>
      <c r="H14" s="92" t="b">
        <v>0</v>
      </c>
      <c r="I14" s="92" t="b">
        <v>0</v>
      </c>
      <c r="J14" s="92" t="b">
        <v>0</v>
      </c>
      <c r="K14" s="92" t="b">
        <v>0</v>
      </c>
      <c r="L14" s="92" t="b">
        <v>0</v>
      </c>
    </row>
    <row r="15" spans="1:12" ht="15">
      <c r="A15" s="92" t="s">
        <v>506</v>
      </c>
      <c r="B15" s="92" t="s">
        <v>582</v>
      </c>
      <c r="C15" s="92">
        <v>3</v>
      </c>
      <c r="D15" s="125">
        <v>0.01432180215430019</v>
      </c>
      <c r="E15" s="125">
        <v>1.3832167518513312</v>
      </c>
      <c r="F15" s="92" t="s">
        <v>591</v>
      </c>
      <c r="G15" s="92" t="b">
        <v>0</v>
      </c>
      <c r="H15" s="92" t="b">
        <v>0</v>
      </c>
      <c r="I15" s="92" t="b">
        <v>0</v>
      </c>
      <c r="J15" s="92" t="b">
        <v>0</v>
      </c>
      <c r="K15" s="92" t="b">
        <v>0</v>
      </c>
      <c r="L15" s="92" t="b">
        <v>0</v>
      </c>
    </row>
    <row r="16" spans="1:12" ht="15">
      <c r="A16" s="92" t="s">
        <v>582</v>
      </c>
      <c r="B16" s="92" t="s">
        <v>583</v>
      </c>
      <c r="C16" s="92">
        <v>3</v>
      </c>
      <c r="D16" s="125">
        <v>0.01432180215430019</v>
      </c>
      <c r="E16" s="125">
        <v>1.6842467475153124</v>
      </c>
      <c r="F16" s="92" t="s">
        <v>591</v>
      </c>
      <c r="G16" s="92" t="b">
        <v>0</v>
      </c>
      <c r="H16" s="92" t="b">
        <v>0</v>
      </c>
      <c r="I16" s="92" t="b">
        <v>0</v>
      </c>
      <c r="J16" s="92" t="b">
        <v>0</v>
      </c>
      <c r="K16" s="92" t="b">
        <v>0</v>
      </c>
      <c r="L16" s="92" t="b">
        <v>0</v>
      </c>
    </row>
    <row r="17" spans="1:12" ht="15">
      <c r="A17" s="92" t="s">
        <v>583</v>
      </c>
      <c r="B17" s="92" t="s">
        <v>584</v>
      </c>
      <c r="C17" s="92">
        <v>3</v>
      </c>
      <c r="D17" s="125">
        <v>0.01432180215430019</v>
      </c>
      <c r="E17" s="125">
        <v>1.6842467475153124</v>
      </c>
      <c r="F17" s="92" t="s">
        <v>591</v>
      </c>
      <c r="G17" s="92" t="b">
        <v>0</v>
      </c>
      <c r="H17" s="92" t="b">
        <v>0</v>
      </c>
      <c r="I17" s="92" t="b">
        <v>0</v>
      </c>
      <c r="J17" s="92" t="b">
        <v>0</v>
      </c>
      <c r="K17" s="92" t="b">
        <v>0</v>
      </c>
      <c r="L17" s="92" t="b">
        <v>0</v>
      </c>
    </row>
    <row r="18" spans="1:12" ht="15">
      <c r="A18" s="92" t="s">
        <v>584</v>
      </c>
      <c r="B18" s="92" t="s">
        <v>585</v>
      </c>
      <c r="C18" s="92">
        <v>3</v>
      </c>
      <c r="D18" s="125">
        <v>0.01432180215430019</v>
      </c>
      <c r="E18" s="125">
        <v>1.6842467475153124</v>
      </c>
      <c r="F18" s="92" t="s">
        <v>591</v>
      </c>
      <c r="G18" s="92" t="b">
        <v>0</v>
      </c>
      <c r="H18" s="92" t="b">
        <v>0</v>
      </c>
      <c r="I18" s="92" t="b">
        <v>0</v>
      </c>
      <c r="J18" s="92" t="b">
        <v>0</v>
      </c>
      <c r="K18" s="92" t="b">
        <v>0</v>
      </c>
      <c r="L18" s="92" t="b">
        <v>0</v>
      </c>
    </row>
    <row r="19" spans="1:12" ht="15">
      <c r="A19" s="92" t="s">
        <v>585</v>
      </c>
      <c r="B19" s="92" t="s">
        <v>498</v>
      </c>
      <c r="C19" s="92">
        <v>3</v>
      </c>
      <c r="D19" s="125">
        <v>0.01432180215430019</v>
      </c>
      <c r="E19" s="125">
        <v>1.11997531707675</v>
      </c>
      <c r="F19" s="92" t="s">
        <v>591</v>
      </c>
      <c r="G19" s="92" t="b">
        <v>0</v>
      </c>
      <c r="H19" s="92" t="b">
        <v>0</v>
      </c>
      <c r="I19" s="92" t="b">
        <v>0</v>
      </c>
      <c r="J19" s="92" t="b">
        <v>0</v>
      </c>
      <c r="K19" s="92" t="b">
        <v>0</v>
      </c>
      <c r="L19" s="92" t="b">
        <v>0</v>
      </c>
    </row>
    <row r="20" spans="1:12" ht="15">
      <c r="A20" s="92" t="s">
        <v>500</v>
      </c>
      <c r="B20" s="92" t="s">
        <v>587</v>
      </c>
      <c r="C20" s="92">
        <v>2</v>
      </c>
      <c r="D20" s="125">
        <v>0.011708497048335275</v>
      </c>
      <c r="E20" s="125">
        <v>1.0152399665567369</v>
      </c>
      <c r="F20" s="92" t="s">
        <v>591</v>
      </c>
      <c r="G20" s="92" t="b">
        <v>0</v>
      </c>
      <c r="H20" s="92" t="b">
        <v>0</v>
      </c>
      <c r="I20" s="92" t="b">
        <v>0</v>
      </c>
      <c r="J20" s="92" t="b">
        <v>0</v>
      </c>
      <c r="K20" s="92" t="b">
        <v>0</v>
      </c>
      <c r="L20" s="92" t="b">
        <v>0</v>
      </c>
    </row>
    <row r="21" spans="1:12" ht="15">
      <c r="A21" s="92" t="s">
        <v>588</v>
      </c>
      <c r="B21" s="92" t="s">
        <v>580</v>
      </c>
      <c r="C21" s="92">
        <v>2</v>
      </c>
      <c r="D21" s="125">
        <v>0.011708497048335275</v>
      </c>
      <c r="E21" s="125">
        <v>1.6842467475153124</v>
      </c>
      <c r="F21" s="92" t="s">
        <v>591</v>
      </c>
      <c r="G21" s="92" t="b">
        <v>1</v>
      </c>
      <c r="H21" s="92" t="b">
        <v>0</v>
      </c>
      <c r="I21" s="92" t="b">
        <v>0</v>
      </c>
      <c r="J21" s="92" t="b">
        <v>0</v>
      </c>
      <c r="K21" s="92" t="b">
        <v>0</v>
      </c>
      <c r="L21" s="92" t="b">
        <v>0</v>
      </c>
    </row>
    <row r="22" spans="1:12" ht="15">
      <c r="A22" s="92" t="s">
        <v>580</v>
      </c>
      <c r="B22" s="92" t="s">
        <v>508</v>
      </c>
      <c r="C22" s="92">
        <v>2</v>
      </c>
      <c r="D22" s="125">
        <v>0.011708497048335275</v>
      </c>
      <c r="E22" s="125">
        <v>1.508155488459631</v>
      </c>
      <c r="F22" s="92" t="s">
        <v>591</v>
      </c>
      <c r="G22" s="92" t="b">
        <v>0</v>
      </c>
      <c r="H22" s="92" t="b">
        <v>0</v>
      </c>
      <c r="I22" s="92" t="b">
        <v>0</v>
      </c>
      <c r="J22" s="92" t="b">
        <v>0</v>
      </c>
      <c r="K22" s="92" t="b">
        <v>0</v>
      </c>
      <c r="L22" s="92" t="b">
        <v>0</v>
      </c>
    </row>
    <row r="23" spans="1:12" ht="15">
      <c r="A23" s="92" t="s">
        <v>498</v>
      </c>
      <c r="B23" s="92" t="s">
        <v>499</v>
      </c>
      <c r="C23" s="92">
        <v>18</v>
      </c>
      <c r="D23" s="125">
        <v>0</v>
      </c>
      <c r="E23" s="125">
        <v>0.9060954971316688</v>
      </c>
      <c r="F23" s="92" t="s">
        <v>465</v>
      </c>
      <c r="G23" s="92" t="b">
        <v>0</v>
      </c>
      <c r="H23" s="92" t="b">
        <v>0</v>
      </c>
      <c r="I23" s="92" t="b">
        <v>0</v>
      </c>
      <c r="J23" s="92" t="b">
        <v>0</v>
      </c>
      <c r="K23" s="92" t="b">
        <v>0</v>
      </c>
      <c r="L23" s="92" t="b">
        <v>0</v>
      </c>
    </row>
    <row r="24" spans="1:12" ht="15">
      <c r="A24" s="92" t="s">
        <v>499</v>
      </c>
      <c r="B24" s="92" t="s">
        <v>500</v>
      </c>
      <c r="C24" s="92">
        <v>13</v>
      </c>
      <c r="D24" s="125">
        <v>0.011271650223031292</v>
      </c>
      <c r="E24" s="125">
        <v>0.7647663443351995</v>
      </c>
      <c r="F24" s="92" t="s">
        <v>465</v>
      </c>
      <c r="G24" s="92" t="b">
        <v>0</v>
      </c>
      <c r="H24" s="92" t="b">
        <v>0</v>
      </c>
      <c r="I24" s="92" t="b">
        <v>0</v>
      </c>
      <c r="J24" s="92" t="b">
        <v>0</v>
      </c>
      <c r="K24" s="92" t="b">
        <v>0</v>
      </c>
      <c r="L24" s="92" t="b">
        <v>0</v>
      </c>
    </row>
    <row r="25" spans="1:12" ht="15">
      <c r="A25" s="92" t="s">
        <v>501</v>
      </c>
      <c r="B25" s="92" t="s">
        <v>502</v>
      </c>
      <c r="C25" s="92">
        <v>9</v>
      </c>
      <c r="D25" s="125">
        <v>0.0166212881041462</v>
      </c>
      <c r="E25" s="125">
        <v>1.11997531707675</v>
      </c>
      <c r="F25" s="92" t="s">
        <v>465</v>
      </c>
      <c r="G25" s="92" t="b">
        <v>0</v>
      </c>
      <c r="H25" s="92" t="b">
        <v>0</v>
      </c>
      <c r="I25" s="92" t="b">
        <v>0</v>
      </c>
      <c r="J25" s="92" t="b">
        <v>0</v>
      </c>
      <c r="K25" s="92" t="b">
        <v>0</v>
      </c>
      <c r="L25" s="92" t="b">
        <v>0</v>
      </c>
    </row>
    <row r="26" spans="1:12" ht="15">
      <c r="A26" s="92" t="s">
        <v>502</v>
      </c>
      <c r="B26" s="92" t="s">
        <v>504</v>
      </c>
      <c r="C26" s="92">
        <v>9</v>
      </c>
      <c r="D26" s="125">
        <v>0.0166212881041462</v>
      </c>
      <c r="E26" s="125">
        <v>1.20712549279565</v>
      </c>
      <c r="F26" s="92" t="s">
        <v>465</v>
      </c>
      <c r="G26" s="92" t="b">
        <v>0</v>
      </c>
      <c r="H26" s="92" t="b">
        <v>0</v>
      </c>
      <c r="I26" s="92" t="b">
        <v>0</v>
      </c>
      <c r="J26" s="92" t="b">
        <v>0</v>
      </c>
      <c r="K26" s="92" t="b">
        <v>0</v>
      </c>
      <c r="L26" s="92" t="b">
        <v>0</v>
      </c>
    </row>
    <row r="27" spans="1:12" ht="15">
      <c r="A27" s="92" t="s">
        <v>499</v>
      </c>
      <c r="B27" s="92" t="s">
        <v>507</v>
      </c>
      <c r="C27" s="92">
        <v>5</v>
      </c>
      <c r="D27" s="125">
        <v>0.017064493888567095</v>
      </c>
      <c r="E27" s="125">
        <v>0.9060954971316688</v>
      </c>
      <c r="F27" s="92" t="s">
        <v>465</v>
      </c>
      <c r="G27" s="92" t="b">
        <v>0</v>
      </c>
      <c r="H27" s="92" t="b">
        <v>0</v>
      </c>
      <c r="I27" s="92" t="b">
        <v>0</v>
      </c>
      <c r="J27" s="92" t="b">
        <v>0</v>
      </c>
      <c r="K27" s="92" t="b">
        <v>0</v>
      </c>
      <c r="L27" s="92" t="b">
        <v>0</v>
      </c>
    </row>
    <row r="28" spans="1:12" ht="15">
      <c r="A28" s="92" t="s">
        <v>507</v>
      </c>
      <c r="B28" s="92" t="s">
        <v>500</v>
      </c>
      <c r="C28" s="92">
        <v>4</v>
      </c>
      <c r="D28" s="125">
        <v>0.01602975493927224</v>
      </c>
      <c r="E28" s="125">
        <v>0.8091854841236125</v>
      </c>
      <c r="F28" s="92" t="s">
        <v>465</v>
      </c>
      <c r="G28" s="92" t="b">
        <v>0</v>
      </c>
      <c r="H28" s="92" t="b">
        <v>0</v>
      </c>
      <c r="I28" s="92" t="b">
        <v>0</v>
      </c>
      <c r="J28" s="92" t="b">
        <v>0</v>
      </c>
      <c r="K28" s="92" t="b">
        <v>0</v>
      </c>
      <c r="L28" s="92" t="b">
        <v>0</v>
      </c>
    </row>
    <row r="29" spans="1:12" ht="15">
      <c r="A29" s="92" t="s">
        <v>500</v>
      </c>
      <c r="B29" s="92" t="s">
        <v>579</v>
      </c>
      <c r="C29" s="92">
        <v>4</v>
      </c>
      <c r="D29" s="125">
        <v>0.01602975493927224</v>
      </c>
      <c r="E29" s="125">
        <v>1.0152399665567369</v>
      </c>
      <c r="F29" s="92" t="s">
        <v>465</v>
      </c>
      <c r="G29" s="92" t="b">
        <v>0</v>
      </c>
      <c r="H29" s="92" t="b">
        <v>0</v>
      </c>
      <c r="I29" s="92" t="b">
        <v>0</v>
      </c>
      <c r="J29" s="92" t="b">
        <v>0</v>
      </c>
      <c r="K29" s="92" t="b">
        <v>0</v>
      </c>
      <c r="L29" s="92" t="b">
        <v>0</v>
      </c>
    </row>
    <row r="30" spans="1:12" ht="15">
      <c r="A30" s="92" t="s">
        <v>579</v>
      </c>
      <c r="B30" s="92" t="s">
        <v>505</v>
      </c>
      <c r="C30" s="92">
        <v>4</v>
      </c>
      <c r="D30" s="125">
        <v>0.01602975493927224</v>
      </c>
      <c r="E30" s="125">
        <v>1.2582780152430313</v>
      </c>
      <c r="F30" s="92" t="s">
        <v>465</v>
      </c>
      <c r="G30" s="92" t="b">
        <v>0</v>
      </c>
      <c r="H30" s="92" t="b">
        <v>0</v>
      </c>
      <c r="I30" s="92" t="b">
        <v>0</v>
      </c>
      <c r="J30" s="92" t="b">
        <v>0</v>
      </c>
      <c r="K30" s="92" t="b">
        <v>0</v>
      </c>
      <c r="L30" s="92" t="b">
        <v>0</v>
      </c>
    </row>
    <row r="31" spans="1:12" ht="15">
      <c r="A31" s="92" t="s">
        <v>505</v>
      </c>
      <c r="B31" s="92" t="s">
        <v>501</v>
      </c>
      <c r="C31" s="92">
        <v>4</v>
      </c>
      <c r="D31" s="125">
        <v>0.01602975493927224</v>
      </c>
      <c r="E31" s="125">
        <v>1.462397997898956</v>
      </c>
      <c r="F31" s="92" t="s">
        <v>465</v>
      </c>
      <c r="G31" s="92" t="b">
        <v>0</v>
      </c>
      <c r="H31" s="92" t="b">
        <v>0</v>
      </c>
      <c r="I31" s="92" t="b">
        <v>0</v>
      </c>
      <c r="J31" s="92" t="b">
        <v>0</v>
      </c>
      <c r="K31" s="92" t="b">
        <v>0</v>
      </c>
      <c r="L31" s="92" t="b">
        <v>0</v>
      </c>
    </row>
    <row r="32" spans="1:12" ht="15">
      <c r="A32" s="92" t="s">
        <v>500</v>
      </c>
      <c r="B32" s="92" t="s">
        <v>505</v>
      </c>
      <c r="C32" s="92">
        <v>4</v>
      </c>
      <c r="D32" s="125">
        <v>0.01602975493927224</v>
      </c>
      <c r="E32" s="125">
        <v>0.7142099708927557</v>
      </c>
      <c r="F32" s="92" t="s">
        <v>465</v>
      </c>
      <c r="G32" s="92" t="b">
        <v>0</v>
      </c>
      <c r="H32" s="92" t="b">
        <v>0</v>
      </c>
      <c r="I32" s="92" t="b">
        <v>0</v>
      </c>
      <c r="J32" s="92" t="b">
        <v>0</v>
      </c>
      <c r="K32" s="92" t="b">
        <v>0</v>
      </c>
      <c r="L32" s="92" t="b">
        <v>0</v>
      </c>
    </row>
    <row r="33" spans="1:12" ht="15">
      <c r="A33" s="92" t="s">
        <v>506</v>
      </c>
      <c r="B33" s="92" t="s">
        <v>506</v>
      </c>
      <c r="C33" s="92">
        <v>3</v>
      </c>
      <c r="D33" s="125">
        <v>0.01432180215430019</v>
      </c>
      <c r="E33" s="125">
        <v>1.3832167518513312</v>
      </c>
      <c r="F33" s="92" t="s">
        <v>465</v>
      </c>
      <c r="G33" s="92" t="b">
        <v>0</v>
      </c>
      <c r="H33" s="92" t="b">
        <v>0</v>
      </c>
      <c r="I33" s="92" t="b">
        <v>0</v>
      </c>
      <c r="J33" s="92" t="b">
        <v>0</v>
      </c>
      <c r="K33" s="92" t="b">
        <v>0</v>
      </c>
      <c r="L33" s="92" t="b">
        <v>0</v>
      </c>
    </row>
    <row r="34" spans="1:12" ht="15">
      <c r="A34" s="92" t="s">
        <v>506</v>
      </c>
      <c r="B34" s="92" t="s">
        <v>582</v>
      </c>
      <c r="C34" s="92">
        <v>3</v>
      </c>
      <c r="D34" s="125">
        <v>0.01432180215430019</v>
      </c>
      <c r="E34" s="125">
        <v>1.3832167518513312</v>
      </c>
      <c r="F34" s="92" t="s">
        <v>465</v>
      </c>
      <c r="G34" s="92" t="b">
        <v>0</v>
      </c>
      <c r="H34" s="92" t="b">
        <v>0</v>
      </c>
      <c r="I34" s="92" t="b">
        <v>0</v>
      </c>
      <c r="J34" s="92" t="b">
        <v>0</v>
      </c>
      <c r="K34" s="92" t="b">
        <v>0</v>
      </c>
      <c r="L34" s="92" t="b">
        <v>0</v>
      </c>
    </row>
    <row r="35" spans="1:12" ht="15">
      <c r="A35" s="92" t="s">
        <v>582</v>
      </c>
      <c r="B35" s="92" t="s">
        <v>583</v>
      </c>
      <c r="C35" s="92">
        <v>3</v>
      </c>
      <c r="D35" s="125">
        <v>0.01432180215430019</v>
      </c>
      <c r="E35" s="125">
        <v>1.6842467475153124</v>
      </c>
      <c r="F35" s="92" t="s">
        <v>465</v>
      </c>
      <c r="G35" s="92" t="b">
        <v>0</v>
      </c>
      <c r="H35" s="92" t="b">
        <v>0</v>
      </c>
      <c r="I35" s="92" t="b">
        <v>0</v>
      </c>
      <c r="J35" s="92" t="b">
        <v>0</v>
      </c>
      <c r="K35" s="92" t="b">
        <v>0</v>
      </c>
      <c r="L35" s="92" t="b">
        <v>0</v>
      </c>
    </row>
    <row r="36" spans="1:12" ht="15">
      <c r="A36" s="92" t="s">
        <v>583</v>
      </c>
      <c r="B36" s="92" t="s">
        <v>584</v>
      </c>
      <c r="C36" s="92">
        <v>3</v>
      </c>
      <c r="D36" s="125">
        <v>0.01432180215430019</v>
      </c>
      <c r="E36" s="125">
        <v>1.6842467475153124</v>
      </c>
      <c r="F36" s="92" t="s">
        <v>465</v>
      </c>
      <c r="G36" s="92" t="b">
        <v>0</v>
      </c>
      <c r="H36" s="92" t="b">
        <v>0</v>
      </c>
      <c r="I36" s="92" t="b">
        <v>0</v>
      </c>
      <c r="J36" s="92" t="b">
        <v>0</v>
      </c>
      <c r="K36" s="92" t="b">
        <v>0</v>
      </c>
      <c r="L36" s="92" t="b">
        <v>0</v>
      </c>
    </row>
    <row r="37" spans="1:12" ht="15">
      <c r="A37" s="92" t="s">
        <v>584</v>
      </c>
      <c r="B37" s="92" t="s">
        <v>585</v>
      </c>
      <c r="C37" s="92">
        <v>3</v>
      </c>
      <c r="D37" s="125">
        <v>0.01432180215430019</v>
      </c>
      <c r="E37" s="125">
        <v>1.6842467475153124</v>
      </c>
      <c r="F37" s="92" t="s">
        <v>465</v>
      </c>
      <c r="G37" s="92" t="b">
        <v>0</v>
      </c>
      <c r="H37" s="92" t="b">
        <v>0</v>
      </c>
      <c r="I37" s="92" t="b">
        <v>0</v>
      </c>
      <c r="J37" s="92" t="b">
        <v>0</v>
      </c>
      <c r="K37" s="92" t="b">
        <v>0</v>
      </c>
      <c r="L37" s="92" t="b">
        <v>0</v>
      </c>
    </row>
    <row r="38" spans="1:12" ht="15">
      <c r="A38" s="92" t="s">
        <v>585</v>
      </c>
      <c r="B38" s="92" t="s">
        <v>498</v>
      </c>
      <c r="C38" s="92">
        <v>3</v>
      </c>
      <c r="D38" s="125">
        <v>0.01432180215430019</v>
      </c>
      <c r="E38" s="125">
        <v>1.11997531707675</v>
      </c>
      <c r="F38" s="92" t="s">
        <v>465</v>
      </c>
      <c r="G38" s="92" t="b">
        <v>0</v>
      </c>
      <c r="H38" s="92" t="b">
        <v>0</v>
      </c>
      <c r="I38" s="92" t="b">
        <v>0</v>
      </c>
      <c r="J38" s="92" t="b">
        <v>0</v>
      </c>
      <c r="K38" s="92" t="b">
        <v>0</v>
      </c>
      <c r="L38" s="92" t="b">
        <v>0</v>
      </c>
    </row>
    <row r="39" spans="1:12" ht="15">
      <c r="A39" s="92" t="s">
        <v>504</v>
      </c>
      <c r="B39" s="92" t="s">
        <v>581</v>
      </c>
      <c r="C39" s="92">
        <v>3</v>
      </c>
      <c r="D39" s="125">
        <v>0.01432180215430019</v>
      </c>
      <c r="E39" s="125">
        <v>1.5593080109070125</v>
      </c>
      <c r="F39" s="92" t="s">
        <v>465</v>
      </c>
      <c r="G39" s="92" t="b">
        <v>0</v>
      </c>
      <c r="H39" s="92" t="b">
        <v>0</v>
      </c>
      <c r="I39" s="92" t="b">
        <v>0</v>
      </c>
      <c r="J39" s="92" t="b">
        <v>0</v>
      </c>
      <c r="K39" s="92" t="b">
        <v>0</v>
      </c>
      <c r="L39" s="92" t="b">
        <v>0</v>
      </c>
    </row>
    <row r="40" spans="1:12" ht="15">
      <c r="A40" s="92" t="s">
        <v>581</v>
      </c>
      <c r="B40" s="92" t="s">
        <v>498</v>
      </c>
      <c r="C40" s="92">
        <v>3</v>
      </c>
      <c r="D40" s="125">
        <v>0.01432180215430019</v>
      </c>
      <c r="E40" s="125">
        <v>1.11997531707675</v>
      </c>
      <c r="F40" s="92" t="s">
        <v>465</v>
      </c>
      <c r="G40" s="92" t="b">
        <v>0</v>
      </c>
      <c r="H40" s="92" t="b">
        <v>0</v>
      </c>
      <c r="I40" s="92" t="b">
        <v>0</v>
      </c>
      <c r="J40" s="92" t="b">
        <v>0</v>
      </c>
      <c r="K40" s="92" t="b">
        <v>0</v>
      </c>
      <c r="L40" s="92" t="b">
        <v>0</v>
      </c>
    </row>
    <row r="41" spans="1:12" ht="15">
      <c r="A41" s="92" t="s">
        <v>500</v>
      </c>
      <c r="B41" s="92" t="s">
        <v>587</v>
      </c>
      <c r="C41" s="92">
        <v>2</v>
      </c>
      <c r="D41" s="125">
        <v>0.011708497048335275</v>
      </c>
      <c r="E41" s="125">
        <v>1.0152399665567369</v>
      </c>
      <c r="F41" s="92" t="s">
        <v>465</v>
      </c>
      <c r="G41" s="92" t="b">
        <v>0</v>
      </c>
      <c r="H41" s="92" t="b">
        <v>0</v>
      </c>
      <c r="I41" s="92" t="b">
        <v>0</v>
      </c>
      <c r="J41" s="92" t="b">
        <v>0</v>
      </c>
      <c r="K41" s="92" t="b">
        <v>0</v>
      </c>
      <c r="L41" s="92" t="b">
        <v>0</v>
      </c>
    </row>
    <row r="42" spans="1:12" ht="15">
      <c r="A42" s="92" t="s">
        <v>588</v>
      </c>
      <c r="B42" s="92" t="s">
        <v>580</v>
      </c>
      <c r="C42" s="92">
        <v>2</v>
      </c>
      <c r="D42" s="125">
        <v>0.011708497048335275</v>
      </c>
      <c r="E42" s="125">
        <v>1.6842467475153124</v>
      </c>
      <c r="F42" s="92" t="s">
        <v>465</v>
      </c>
      <c r="G42" s="92" t="b">
        <v>1</v>
      </c>
      <c r="H42" s="92" t="b">
        <v>0</v>
      </c>
      <c r="I42" s="92" t="b">
        <v>0</v>
      </c>
      <c r="J42" s="92" t="b">
        <v>0</v>
      </c>
      <c r="K42" s="92" t="b">
        <v>0</v>
      </c>
      <c r="L42" s="92" t="b">
        <v>0</v>
      </c>
    </row>
    <row r="43" spans="1:12" ht="15">
      <c r="A43" s="92" t="s">
        <v>580</v>
      </c>
      <c r="B43" s="92" t="s">
        <v>508</v>
      </c>
      <c r="C43" s="92">
        <v>2</v>
      </c>
      <c r="D43" s="125">
        <v>0.011708497048335275</v>
      </c>
      <c r="E43" s="125">
        <v>1.508155488459631</v>
      </c>
      <c r="F43" s="92" t="s">
        <v>465</v>
      </c>
      <c r="G43" s="92" t="b">
        <v>0</v>
      </c>
      <c r="H43" s="92" t="b">
        <v>0</v>
      </c>
      <c r="I43" s="92" t="b">
        <v>0</v>
      </c>
      <c r="J43" s="92" t="b">
        <v>0</v>
      </c>
      <c r="K43" s="92" t="b">
        <v>0</v>
      </c>
      <c r="L43" s="92"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8" t="s">
        <v>39</v>
      </c>
      <c r="D1" s="19"/>
      <c r="E1" s="19"/>
      <c r="F1" s="19"/>
      <c r="G1" s="18"/>
      <c r="H1" s="16" t="s">
        <v>43</v>
      </c>
      <c r="I1" s="65"/>
      <c r="J1" s="65"/>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464</v>
      </c>
      <c r="BB2" s="13" t="s">
        <v>468</v>
      </c>
      <c r="BC2" s="13" t="s">
        <v>469</v>
      </c>
      <c r="BD2" s="68" t="s">
        <v>604</v>
      </c>
      <c r="BE2" s="68" t="s">
        <v>605</v>
      </c>
      <c r="BF2" s="68" t="s">
        <v>606</v>
      </c>
      <c r="BG2" s="68" t="s">
        <v>607</v>
      </c>
      <c r="BH2" s="68" t="s">
        <v>608</v>
      </c>
      <c r="BI2" s="68" t="s">
        <v>609</v>
      </c>
      <c r="BJ2" s="68" t="s">
        <v>610</v>
      </c>
      <c r="BK2" s="68" t="s">
        <v>611</v>
      </c>
      <c r="BL2" s="68" t="s">
        <v>612</v>
      </c>
    </row>
    <row r="3" spans="1:64" ht="15" customHeight="1">
      <c r="A3" s="85" t="s">
        <v>212</v>
      </c>
      <c r="B3" s="85" t="s">
        <v>212</v>
      </c>
      <c r="C3" s="53"/>
      <c r="D3" s="54"/>
      <c r="E3" s="66"/>
      <c r="F3" s="55"/>
      <c r="G3" s="53"/>
      <c r="H3" s="57"/>
      <c r="I3" s="56"/>
      <c r="J3" s="56"/>
      <c r="K3" s="36" t="s">
        <v>65</v>
      </c>
      <c r="L3" s="62">
        <v>3</v>
      </c>
      <c r="M3" s="62"/>
      <c r="N3" s="63"/>
      <c r="O3" s="86" t="s">
        <v>176</v>
      </c>
      <c r="P3" s="88">
        <v>43475.59777777778</v>
      </c>
      <c r="Q3" s="86" t="s">
        <v>226</v>
      </c>
      <c r="R3" s="90" t="s">
        <v>244</v>
      </c>
      <c r="S3" s="86" t="s">
        <v>262</v>
      </c>
      <c r="T3" s="86"/>
      <c r="U3" s="86"/>
      <c r="V3" s="90" t="s">
        <v>276</v>
      </c>
      <c r="W3" s="88">
        <v>43475.59777777778</v>
      </c>
      <c r="X3" s="90" t="s">
        <v>290</v>
      </c>
      <c r="Y3" s="86"/>
      <c r="Z3" s="86"/>
      <c r="AA3" s="92" t="s">
        <v>308</v>
      </c>
      <c r="AB3" s="86"/>
      <c r="AC3" s="86" t="b">
        <v>0</v>
      </c>
      <c r="AD3" s="86">
        <v>0</v>
      </c>
      <c r="AE3" s="92" t="s">
        <v>326</v>
      </c>
      <c r="AF3" s="86" t="b">
        <v>0</v>
      </c>
      <c r="AG3" s="86" t="s">
        <v>327</v>
      </c>
      <c r="AH3" s="86"/>
      <c r="AI3" s="92" t="s">
        <v>326</v>
      </c>
      <c r="AJ3" s="86" t="b">
        <v>0</v>
      </c>
      <c r="AK3" s="86">
        <v>0</v>
      </c>
      <c r="AL3" s="92" t="s">
        <v>326</v>
      </c>
      <c r="AM3" s="86" t="s">
        <v>329</v>
      </c>
      <c r="AN3" s="86" t="b">
        <v>0</v>
      </c>
      <c r="AO3" s="92" t="s">
        <v>308</v>
      </c>
      <c r="AP3" s="86" t="s">
        <v>176</v>
      </c>
      <c r="AQ3" s="86">
        <v>0</v>
      </c>
      <c r="AR3" s="86">
        <v>0</v>
      </c>
      <c r="AS3" s="86"/>
      <c r="AT3" s="86"/>
      <c r="AU3" s="86"/>
      <c r="AV3" s="86"/>
      <c r="AW3" s="86"/>
      <c r="AX3" s="86"/>
      <c r="AY3" s="86"/>
      <c r="AZ3" s="86"/>
      <c r="BA3">
        <v>1</v>
      </c>
      <c r="BB3" s="86" t="str">
        <f>REPLACE(INDEX(GroupVertices[Group],MATCH(Edges24[[#This Row],[Vertex 1]],GroupVertices[Vertex],0)),1,1,"")</f>
        <v>1</v>
      </c>
      <c r="BC3" s="86" t="str">
        <f>REPLACE(INDEX(GroupVertices[Group],MATCH(Edges24[[#This Row],[Vertex 2]],GroupVertices[Vertex],0)),1,1,"")</f>
        <v>1</v>
      </c>
      <c r="BD3" s="51">
        <v>0</v>
      </c>
      <c r="BE3" s="52">
        <v>0</v>
      </c>
      <c r="BF3" s="51">
        <v>0</v>
      </c>
      <c r="BG3" s="52">
        <v>0</v>
      </c>
      <c r="BH3" s="51">
        <v>0</v>
      </c>
      <c r="BI3" s="52">
        <v>0</v>
      </c>
      <c r="BJ3" s="51">
        <v>11</v>
      </c>
      <c r="BK3" s="52">
        <v>100</v>
      </c>
      <c r="BL3" s="51">
        <v>11</v>
      </c>
    </row>
    <row r="4" spans="1:64" ht="15" customHeight="1">
      <c r="A4" s="85" t="s">
        <v>213</v>
      </c>
      <c r="B4" s="85" t="s">
        <v>213</v>
      </c>
      <c r="C4" s="53"/>
      <c r="D4" s="54"/>
      <c r="E4" s="66"/>
      <c r="F4" s="55"/>
      <c r="G4" s="53"/>
      <c r="H4" s="57"/>
      <c r="I4" s="56"/>
      <c r="J4" s="56"/>
      <c r="K4" s="36" t="s">
        <v>65</v>
      </c>
      <c r="L4" s="84">
        <v>4</v>
      </c>
      <c r="M4" s="84"/>
      <c r="N4" s="63"/>
      <c r="O4" s="87" t="s">
        <v>176</v>
      </c>
      <c r="P4" s="89">
        <v>43475.63891203704</v>
      </c>
      <c r="Q4" s="87" t="s">
        <v>227</v>
      </c>
      <c r="R4" s="91" t="s">
        <v>245</v>
      </c>
      <c r="S4" s="87" t="s">
        <v>263</v>
      </c>
      <c r="T4" s="87"/>
      <c r="U4" s="87"/>
      <c r="V4" s="91" t="s">
        <v>277</v>
      </c>
      <c r="W4" s="89">
        <v>43475.63891203704</v>
      </c>
      <c r="X4" s="91" t="s">
        <v>291</v>
      </c>
      <c r="Y4" s="87"/>
      <c r="Z4" s="87"/>
      <c r="AA4" s="93" t="s">
        <v>309</v>
      </c>
      <c r="AB4" s="87"/>
      <c r="AC4" s="87" t="b">
        <v>0</v>
      </c>
      <c r="AD4" s="87">
        <v>0</v>
      </c>
      <c r="AE4" s="93" t="s">
        <v>326</v>
      </c>
      <c r="AF4" s="87" t="b">
        <v>0</v>
      </c>
      <c r="AG4" s="87" t="s">
        <v>327</v>
      </c>
      <c r="AH4" s="87"/>
      <c r="AI4" s="93" t="s">
        <v>326</v>
      </c>
      <c r="AJ4" s="87" t="b">
        <v>0</v>
      </c>
      <c r="AK4" s="87">
        <v>0</v>
      </c>
      <c r="AL4" s="93" t="s">
        <v>326</v>
      </c>
      <c r="AM4" s="87" t="s">
        <v>263</v>
      </c>
      <c r="AN4" s="87" t="b">
        <v>0</v>
      </c>
      <c r="AO4" s="93" t="s">
        <v>309</v>
      </c>
      <c r="AP4" s="87" t="s">
        <v>176</v>
      </c>
      <c r="AQ4" s="87">
        <v>0</v>
      </c>
      <c r="AR4" s="87">
        <v>0</v>
      </c>
      <c r="AS4" s="87"/>
      <c r="AT4" s="87"/>
      <c r="AU4" s="87"/>
      <c r="AV4" s="87"/>
      <c r="AW4" s="87"/>
      <c r="AX4" s="87"/>
      <c r="AY4" s="87"/>
      <c r="AZ4" s="87"/>
      <c r="BA4">
        <v>2</v>
      </c>
      <c r="BB4" s="86" t="str">
        <f>REPLACE(INDEX(GroupVertices[Group],MATCH(Edges24[[#This Row],[Vertex 1]],GroupVertices[Vertex],0)),1,1,"")</f>
        <v>1</v>
      </c>
      <c r="BC4" s="86" t="str">
        <f>REPLACE(INDEX(GroupVertices[Group],MATCH(Edges24[[#This Row],[Vertex 2]],GroupVertices[Vertex],0)),1,1,"")</f>
        <v>1</v>
      </c>
      <c r="BD4" s="51">
        <v>0</v>
      </c>
      <c r="BE4" s="52">
        <v>0</v>
      </c>
      <c r="BF4" s="51">
        <v>0</v>
      </c>
      <c r="BG4" s="52">
        <v>0</v>
      </c>
      <c r="BH4" s="51">
        <v>0</v>
      </c>
      <c r="BI4" s="52">
        <v>0</v>
      </c>
      <c r="BJ4" s="51">
        <v>11</v>
      </c>
      <c r="BK4" s="52">
        <v>100</v>
      </c>
      <c r="BL4" s="51">
        <v>11</v>
      </c>
    </row>
    <row r="5" spans="1:64" ht="15">
      <c r="A5" s="85" t="s">
        <v>213</v>
      </c>
      <c r="B5" s="85" t="s">
        <v>213</v>
      </c>
      <c r="C5" s="53"/>
      <c r="D5" s="54"/>
      <c r="E5" s="66"/>
      <c r="F5" s="55"/>
      <c r="G5" s="53"/>
      <c r="H5" s="57"/>
      <c r="I5" s="56"/>
      <c r="J5" s="56"/>
      <c r="K5" s="36" t="s">
        <v>65</v>
      </c>
      <c r="L5" s="84">
        <v>5</v>
      </c>
      <c r="M5" s="84"/>
      <c r="N5" s="63"/>
      <c r="O5" s="87" t="s">
        <v>176</v>
      </c>
      <c r="P5" s="89">
        <v>43475.65</v>
      </c>
      <c r="Q5" s="87" t="s">
        <v>228</v>
      </c>
      <c r="R5" s="91" t="s">
        <v>246</v>
      </c>
      <c r="S5" s="87" t="s">
        <v>262</v>
      </c>
      <c r="T5" s="87"/>
      <c r="U5" s="87"/>
      <c r="V5" s="91" t="s">
        <v>277</v>
      </c>
      <c r="W5" s="89">
        <v>43475.65</v>
      </c>
      <c r="X5" s="91" t="s">
        <v>292</v>
      </c>
      <c r="Y5" s="87"/>
      <c r="Z5" s="87"/>
      <c r="AA5" s="93" t="s">
        <v>310</v>
      </c>
      <c r="AB5" s="87"/>
      <c r="AC5" s="87" t="b">
        <v>0</v>
      </c>
      <c r="AD5" s="87">
        <v>0</v>
      </c>
      <c r="AE5" s="93" t="s">
        <v>326</v>
      </c>
      <c r="AF5" s="87" t="b">
        <v>0</v>
      </c>
      <c r="AG5" s="87" t="s">
        <v>327</v>
      </c>
      <c r="AH5" s="87"/>
      <c r="AI5" s="93" t="s">
        <v>326</v>
      </c>
      <c r="AJ5" s="87" t="b">
        <v>0</v>
      </c>
      <c r="AK5" s="87">
        <v>0</v>
      </c>
      <c r="AL5" s="93" t="s">
        <v>326</v>
      </c>
      <c r="AM5" s="87" t="s">
        <v>263</v>
      </c>
      <c r="AN5" s="87" t="b">
        <v>0</v>
      </c>
      <c r="AO5" s="93" t="s">
        <v>310</v>
      </c>
      <c r="AP5" s="87" t="s">
        <v>176</v>
      </c>
      <c r="AQ5" s="87">
        <v>0</v>
      </c>
      <c r="AR5" s="87">
        <v>0</v>
      </c>
      <c r="AS5" s="87"/>
      <c r="AT5" s="87"/>
      <c r="AU5" s="87"/>
      <c r="AV5" s="87"/>
      <c r="AW5" s="87"/>
      <c r="AX5" s="87"/>
      <c r="AY5" s="87"/>
      <c r="AZ5" s="87"/>
      <c r="BA5">
        <v>2</v>
      </c>
      <c r="BB5" s="86" t="str">
        <f>REPLACE(INDEX(GroupVertices[Group],MATCH(Edges24[[#This Row],[Vertex 1]],GroupVertices[Vertex],0)),1,1,"")</f>
        <v>1</v>
      </c>
      <c r="BC5" s="86" t="str">
        <f>REPLACE(INDEX(GroupVertices[Group],MATCH(Edges24[[#This Row],[Vertex 2]],GroupVertices[Vertex],0)),1,1,"")</f>
        <v>1</v>
      </c>
      <c r="BD5" s="51">
        <v>0</v>
      </c>
      <c r="BE5" s="52">
        <v>0</v>
      </c>
      <c r="BF5" s="51">
        <v>0</v>
      </c>
      <c r="BG5" s="52">
        <v>0</v>
      </c>
      <c r="BH5" s="51">
        <v>0</v>
      </c>
      <c r="BI5" s="52">
        <v>0</v>
      </c>
      <c r="BJ5" s="51">
        <v>11</v>
      </c>
      <c r="BK5" s="52">
        <v>100</v>
      </c>
      <c r="BL5" s="51">
        <v>11</v>
      </c>
    </row>
    <row r="6" spans="1:64" ht="15">
      <c r="A6" s="85" t="s">
        <v>214</v>
      </c>
      <c r="B6" s="85" t="s">
        <v>214</v>
      </c>
      <c r="C6" s="53"/>
      <c r="D6" s="54"/>
      <c r="E6" s="66"/>
      <c r="F6" s="55"/>
      <c r="G6" s="53"/>
      <c r="H6" s="57"/>
      <c r="I6" s="56"/>
      <c r="J6" s="56"/>
      <c r="K6" s="36" t="s">
        <v>65</v>
      </c>
      <c r="L6" s="84">
        <v>6</v>
      </c>
      <c r="M6" s="84"/>
      <c r="N6" s="63"/>
      <c r="O6" s="87" t="s">
        <v>176</v>
      </c>
      <c r="P6" s="89">
        <v>43478.82818287037</v>
      </c>
      <c r="Q6" s="87" t="s">
        <v>229</v>
      </c>
      <c r="R6" s="91" t="s">
        <v>247</v>
      </c>
      <c r="S6" s="87" t="s">
        <v>264</v>
      </c>
      <c r="T6" s="87"/>
      <c r="U6" s="87"/>
      <c r="V6" s="91" t="s">
        <v>278</v>
      </c>
      <c r="W6" s="89">
        <v>43478.82818287037</v>
      </c>
      <c r="X6" s="91" t="s">
        <v>293</v>
      </c>
      <c r="Y6" s="87"/>
      <c r="Z6" s="87"/>
      <c r="AA6" s="93" t="s">
        <v>311</v>
      </c>
      <c r="AB6" s="87"/>
      <c r="AC6" s="87" t="b">
        <v>0</v>
      </c>
      <c r="AD6" s="87">
        <v>0</v>
      </c>
      <c r="AE6" s="93" t="s">
        <v>326</v>
      </c>
      <c r="AF6" s="87" t="b">
        <v>0</v>
      </c>
      <c r="AG6" s="87" t="s">
        <v>327</v>
      </c>
      <c r="AH6" s="87"/>
      <c r="AI6" s="93" t="s">
        <v>326</v>
      </c>
      <c r="AJ6" s="87" t="b">
        <v>0</v>
      </c>
      <c r="AK6" s="87">
        <v>0</v>
      </c>
      <c r="AL6" s="93" t="s">
        <v>326</v>
      </c>
      <c r="AM6" s="87" t="s">
        <v>329</v>
      </c>
      <c r="AN6" s="87" t="b">
        <v>0</v>
      </c>
      <c r="AO6" s="93" t="s">
        <v>311</v>
      </c>
      <c r="AP6" s="87" t="s">
        <v>176</v>
      </c>
      <c r="AQ6" s="87">
        <v>0</v>
      </c>
      <c r="AR6" s="87">
        <v>0</v>
      </c>
      <c r="AS6" s="87"/>
      <c r="AT6" s="87"/>
      <c r="AU6" s="87"/>
      <c r="AV6" s="87"/>
      <c r="AW6" s="87"/>
      <c r="AX6" s="87"/>
      <c r="AY6" s="87"/>
      <c r="AZ6" s="87"/>
      <c r="BA6">
        <v>1</v>
      </c>
      <c r="BB6" s="86" t="str">
        <f>REPLACE(INDEX(GroupVertices[Group],MATCH(Edges24[[#This Row],[Vertex 1]],GroupVertices[Vertex],0)),1,1,"")</f>
        <v>1</v>
      </c>
      <c r="BC6" s="86" t="str">
        <f>REPLACE(INDEX(GroupVertices[Group],MATCH(Edges24[[#This Row],[Vertex 2]],GroupVertices[Vertex],0)),1,1,"")</f>
        <v>1</v>
      </c>
      <c r="BD6" s="51">
        <v>0</v>
      </c>
      <c r="BE6" s="52">
        <v>0</v>
      </c>
      <c r="BF6" s="51">
        <v>0</v>
      </c>
      <c r="BG6" s="52">
        <v>0</v>
      </c>
      <c r="BH6" s="51">
        <v>0</v>
      </c>
      <c r="BI6" s="52">
        <v>0</v>
      </c>
      <c r="BJ6" s="51">
        <v>11</v>
      </c>
      <c r="BK6" s="52">
        <v>100</v>
      </c>
      <c r="BL6" s="51">
        <v>11</v>
      </c>
    </row>
    <row r="7" spans="1:64" ht="15">
      <c r="A7" s="85" t="s">
        <v>215</v>
      </c>
      <c r="B7" s="85" t="s">
        <v>215</v>
      </c>
      <c r="C7" s="53"/>
      <c r="D7" s="54"/>
      <c r="E7" s="66"/>
      <c r="F7" s="55"/>
      <c r="G7" s="53"/>
      <c r="H7" s="57"/>
      <c r="I7" s="56"/>
      <c r="J7" s="56"/>
      <c r="K7" s="36" t="s">
        <v>65</v>
      </c>
      <c r="L7" s="84">
        <v>7</v>
      </c>
      <c r="M7" s="84"/>
      <c r="N7" s="63"/>
      <c r="O7" s="87" t="s">
        <v>176</v>
      </c>
      <c r="P7" s="89">
        <v>43479.901087962964</v>
      </c>
      <c r="Q7" s="87" t="s">
        <v>230</v>
      </c>
      <c r="R7" s="91" t="s">
        <v>248</v>
      </c>
      <c r="S7" s="87" t="s">
        <v>265</v>
      </c>
      <c r="T7" s="87"/>
      <c r="U7" s="87"/>
      <c r="V7" s="91" t="s">
        <v>279</v>
      </c>
      <c r="W7" s="89">
        <v>43479.901087962964</v>
      </c>
      <c r="X7" s="91" t="s">
        <v>294</v>
      </c>
      <c r="Y7" s="87"/>
      <c r="Z7" s="87"/>
      <c r="AA7" s="93" t="s">
        <v>312</v>
      </c>
      <c r="AB7" s="87"/>
      <c r="AC7" s="87" t="b">
        <v>0</v>
      </c>
      <c r="AD7" s="87">
        <v>0</v>
      </c>
      <c r="AE7" s="93" t="s">
        <v>326</v>
      </c>
      <c r="AF7" s="87" t="b">
        <v>0</v>
      </c>
      <c r="AG7" s="87" t="s">
        <v>327</v>
      </c>
      <c r="AH7" s="87"/>
      <c r="AI7" s="93" t="s">
        <v>326</v>
      </c>
      <c r="AJ7" s="87" t="b">
        <v>0</v>
      </c>
      <c r="AK7" s="87">
        <v>0</v>
      </c>
      <c r="AL7" s="93" t="s">
        <v>326</v>
      </c>
      <c r="AM7" s="87" t="s">
        <v>330</v>
      </c>
      <c r="AN7" s="87" t="b">
        <v>0</v>
      </c>
      <c r="AO7" s="93" t="s">
        <v>312</v>
      </c>
      <c r="AP7" s="87" t="s">
        <v>176</v>
      </c>
      <c r="AQ7" s="87">
        <v>0</v>
      </c>
      <c r="AR7" s="87">
        <v>0</v>
      </c>
      <c r="AS7" s="87"/>
      <c r="AT7" s="87"/>
      <c r="AU7" s="87"/>
      <c r="AV7" s="87"/>
      <c r="AW7" s="87"/>
      <c r="AX7" s="87"/>
      <c r="AY7" s="87"/>
      <c r="AZ7" s="87"/>
      <c r="BA7">
        <v>1</v>
      </c>
      <c r="BB7" s="86" t="str">
        <f>REPLACE(INDEX(GroupVertices[Group],MATCH(Edges24[[#This Row],[Vertex 1]],GroupVertices[Vertex],0)),1,1,"")</f>
        <v>1</v>
      </c>
      <c r="BC7" s="86" t="str">
        <f>REPLACE(INDEX(GroupVertices[Group],MATCH(Edges24[[#This Row],[Vertex 2]],GroupVertices[Vertex],0)),1,1,"")</f>
        <v>1</v>
      </c>
      <c r="BD7" s="51">
        <v>0</v>
      </c>
      <c r="BE7" s="52">
        <v>0</v>
      </c>
      <c r="BF7" s="51">
        <v>0</v>
      </c>
      <c r="BG7" s="52">
        <v>0</v>
      </c>
      <c r="BH7" s="51">
        <v>0</v>
      </c>
      <c r="BI7" s="52">
        <v>0</v>
      </c>
      <c r="BJ7" s="51">
        <v>14</v>
      </c>
      <c r="BK7" s="52">
        <v>100</v>
      </c>
      <c r="BL7" s="51">
        <v>14</v>
      </c>
    </row>
    <row r="8" spans="1:64" ht="15">
      <c r="A8" s="85" t="s">
        <v>216</v>
      </c>
      <c r="B8" s="85" t="s">
        <v>216</v>
      </c>
      <c r="C8" s="53"/>
      <c r="D8" s="54"/>
      <c r="E8" s="66"/>
      <c r="F8" s="55"/>
      <c r="G8" s="53"/>
      <c r="H8" s="57"/>
      <c r="I8" s="56"/>
      <c r="J8" s="56"/>
      <c r="K8" s="36" t="s">
        <v>65</v>
      </c>
      <c r="L8" s="84">
        <v>8</v>
      </c>
      <c r="M8" s="84"/>
      <c r="N8" s="63"/>
      <c r="O8" s="87" t="s">
        <v>176</v>
      </c>
      <c r="P8" s="89">
        <v>43481.153391203705</v>
      </c>
      <c r="Q8" s="87" t="s">
        <v>231</v>
      </c>
      <c r="R8" s="91" t="s">
        <v>249</v>
      </c>
      <c r="S8" s="87" t="s">
        <v>266</v>
      </c>
      <c r="T8" s="87" t="s">
        <v>275</v>
      </c>
      <c r="U8" s="87"/>
      <c r="V8" s="91" t="s">
        <v>280</v>
      </c>
      <c r="W8" s="89">
        <v>43481.153391203705</v>
      </c>
      <c r="X8" s="91" t="s">
        <v>295</v>
      </c>
      <c r="Y8" s="87"/>
      <c r="Z8" s="87"/>
      <c r="AA8" s="93" t="s">
        <v>313</v>
      </c>
      <c r="AB8" s="87"/>
      <c r="AC8" s="87" t="b">
        <v>0</v>
      </c>
      <c r="AD8" s="87">
        <v>0</v>
      </c>
      <c r="AE8" s="93" t="s">
        <v>326</v>
      </c>
      <c r="AF8" s="87" t="b">
        <v>0</v>
      </c>
      <c r="AG8" s="87" t="s">
        <v>327</v>
      </c>
      <c r="AH8" s="87"/>
      <c r="AI8" s="93" t="s">
        <v>326</v>
      </c>
      <c r="AJ8" s="87" t="b">
        <v>0</v>
      </c>
      <c r="AK8" s="87">
        <v>0</v>
      </c>
      <c r="AL8" s="93" t="s">
        <v>326</v>
      </c>
      <c r="AM8" s="87" t="s">
        <v>329</v>
      </c>
      <c r="AN8" s="87" t="b">
        <v>0</v>
      </c>
      <c r="AO8" s="93" t="s">
        <v>313</v>
      </c>
      <c r="AP8" s="87" t="s">
        <v>176</v>
      </c>
      <c r="AQ8" s="87">
        <v>0</v>
      </c>
      <c r="AR8" s="87">
        <v>0</v>
      </c>
      <c r="AS8" s="87"/>
      <c r="AT8" s="87"/>
      <c r="AU8" s="87"/>
      <c r="AV8" s="87"/>
      <c r="AW8" s="87"/>
      <c r="AX8" s="87"/>
      <c r="AY8" s="87"/>
      <c r="AZ8" s="87"/>
      <c r="BA8">
        <v>1</v>
      </c>
      <c r="BB8" s="86" t="str">
        <f>REPLACE(INDEX(GroupVertices[Group],MATCH(Edges24[[#This Row],[Vertex 1]],GroupVertices[Vertex],0)),1,1,"")</f>
        <v>1</v>
      </c>
      <c r="BC8" s="86" t="str">
        <f>REPLACE(INDEX(GroupVertices[Group],MATCH(Edges24[[#This Row],[Vertex 2]],GroupVertices[Vertex],0)),1,1,"")</f>
        <v>1</v>
      </c>
      <c r="BD8" s="51">
        <v>0</v>
      </c>
      <c r="BE8" s="52">
        <v>0</v>
      </c>
      <c r="BF8" s="51">
        <v>0</v>
      </c>
      <c r="BG8" s="52">
        <v>0</v>
      </c>
      <c r="BH8" s="51">
        <v>0</v>
      </c>
      <c r="BI8" s="52">
        <v>0</v>
      </c>
      <c r="BJ8" s="51">
        <v>13</v>
      </c>
      <c r="BK8" s="52">
        <v>100</v>
      </c>
      <c r="BL8" s="51">
        <v>13</v>
      </c>
    </row>
    <row r="9" spans="1:64" ht="15">
      <c r="A9" s="85" t="s">
        <v>217</v>
      </c>
      <c r="B9" s="85" t="s">
        <v>217</v>
      </c>
      <c r="C9" s="53"/>
      <c r="D9" s="54"/>
      <c r="E9" s="66"/>
      <c r="F9" s="55"/>
      <c r="G9" s="53"/>
      <c r="H9" s="57"/>
      <c r="I9" s="56"/>
      <c r="J9" s="56"/>
      <c r="K9" s="36" t="s">
        <v>65</v>
      </c>
      <c r="L9" s="84">
        <v>9</v>
      </c>
      <c r="M9" s="84"/>
      <c r="N9" s="63"/>
      <c r="O9" s="87" t="s">
        <v>176</v>
      </c>
      <c r="P9" s="89">
        <v>43485.12862268519</v>
      </c>
      <c r="Q9" s="87" t="s">
        <v>232</v>
      </c>
      <c r="R9" s="91" t="s">
        <v>250</v>
      </c>
      <c r="S9" s="87" t="s">
        <v>267</v>
      </c>
      <c r="T9" s="87"/>
      <c r="U9" s="87"/>
      <c r="V9" s="91" t="s">
        <v>281</v>
      </c>
      <c r="W9" s="89">
        <v>43485.12862268519</v>
      </c>
      <c r="X9" s="91" t="s">
        <v>296</v>
      </c>
      <c r="Y9" s="87"/>
      <c r="Z9" s="87"/>
      <c r="AA9" s="93" t="s">
        <v>314</v>
      </c>
      <c r="AB9" s="87"/>
      <c r="AC9" s="87" t="b">
        <v>0</v>
      </c>
      <c r="AD9" s="87">
        <v>0</v>
      </c>
      <c r="AE9" s="93" t="s">
        <v>326</v>
      </c>
      <c r="AF9" s="87" t="b">
        <v>0</v>
      </c>
      <c r="AG9" s="87" t="s">
        <v>327</v>
      </c>
      <c r="AH9" s="87"/>
      <c r="AI9" s="93" t="s">
        <v>326</v>
      </c>
      <c r="AJ9" s="87" t="b">
        <v>0</v>
      </c>
      <c r="AK9" s="87">
        <v>0</v>
      </c>
      <c r="AL9" s="93" t="s">
        <v>326</v>
      </c>
      <c r="AM9" s="87" t="s">
        <v>329</v>
      </c>
      <c r="AN9" s="87" t="b">
        <v>0</v>
      </c>
      <c r="AO9" s="93" t="s">
        <v>314</v>
      </c>
      <c r="AP9" s="87" t="s">
        <v>176</v>
      </c>
      <c r="AQ9" s="87">
        <v>0</v>
      </c>
      <c r="AR9" s="87">
        <v>0</v>
      </c>
      <c r="AS9" s="87"/>
      <c r="AT9" s="87"/>
      <c r="AU9" s="87"/>
      <c r="AV9" s="87"/>
      <c r="AW9" s="87"/>
      <c r="AX9" s="87"/>
      <c r="AY9" s="87"/>
      <c r="AZ9" s="87"/>
      <c r="BA9">
        <v>1</v>
      </c>
      <c r="BB9" s="86" t="str">
        <f>REPLACE(INDEX(GroupVertices[Group],MATCH(Edges24[[#This Row],[Vertex 1]],GroupVertices[Vertex],0)),1,1,"")</f>
        <v>1</v>
      </c>
      <c r="BC9" s="86" t="str">
        <f>REPLACE(INDEX(GroupVertices[Group],MATCH(Edges24[[#This Row],[Vertex 2]],GroupVertices[Vertex],0)),1,1,"")</f>
        <v>1</v>
      </c>
      <c r="BD9" s="51">
        <v>0</v>
      </c>
      <c r="BE9" s="52">
        <v>0</v>
      </c>
      <c r="BF9" s="51">
        <v>0</v>
      </c>
      <c r="BG9" s="52">
        <v>0</v>
      </c>
      <c r="BH9" s="51">
        <v>0</v>
      </c>
      <c r="BI9" s="52">
        <v>0</v>
      </c>
      <c r="BJ9" s="51">
        <v>10</v>
      </c>
      <c r="BK9" s="52">
        <v>100</v>
      </c>
      <c r="BL9" s="51">
        <v>10</v>
      </c>
    </row>
    <row r="10" spans="1:64" ht="15">
      <c r="A10" s="85" t="s">
        <v>218</v>
      </c>
      <c r="B10" s="85" t="s">
        <v>218</v>
      </c>
      <c r="C10" s="53"/>
      <c r="D10" s="54"/>
      <c r="E10" s="66"/>
      <c r="F10" s="55"/>
      <c r="G10" s="53"/>
      <c r="H10" s="57"/>
      <c r="I10" s="56"/>
      <c r="J10" s="56"/>
      <c r="K10" s="36" t="s">
        <v>65</v>
      </c>
      <c r="L10" s="84">
        <v>10</v>
      </c>
      <c r="M10" s="84"/>
      <c r="N10" s="63"/>
      <c r="O10" s="87" t="s">
        <v>176</v>
      </c>
      <c r="P10" s="89">
        <v>43485.13496527778</v>
      </c>
      <c r="Q10" s="87" t="s">
        <v>233</v>
      </c>
      <c r="R10" s="91" t="s">
        <v>251</v>
      </c>
      <c r="S10" s="87" t="s">
        <v>268</v>
      </c>
      <c r="T10" s="87"/>
      <c r="U10" s="87"/>
      <c r="V10" s="91" t="s">
        <v>282</v>
      </c>
      <c r="W10" s="89">
        <v>43485.13496527778</v>
      </c>
      <c r="X10" s="91" t="s">
        <v>297</v>
      </c>
      <c r="Y10" s="87"/>
      <c r="Z10" s="87"/>
      <c r="AA10" s="93" t="s">
        <v>315</v>
      </c>
      <c r="AB10" s="87"/>
      <c r="AC10" s="87" t="b">
        <v>0</v>
      </c>
      <c r="AD10" s="87">
        <v>0</v>
      </c>
      <c r="AE10" s="93" t="s">
        <v>326</v>
      </c>
      <c r="AF10" s="87" t="b">
        <v>0</v>
      </c>
      <c r="AG10" s="87" t="s">
        <v>327</v>
      </c>
      <c r="AH10" s="87"/>
      <c r="AI10" s="93" t="s">
        <v>326</v>
      </c>
      <c r="AJ10" s="87" t="b">
        <v>0</v>
      </c>
      <c r="AK10" s="87">
        <v>0</v>
      </c>
      <c r="AL10" s="93" t="s">
        <v>326</v>
      </c>
      <c r="AM10" s="87" t="s">
        <v>329</v>
      </c>
      <c r="AN10" s="87" t="b">
        <v>0</v>
      </c>
      <c r="AO10" s="93" t="s">
        <v>315</v>
      </c>
      <c r="AP10" s="87" t="s">
        <v>176</v>
      </c>
      <c r="AQ10" s="87">
        <v>0</v>
      </c>
      <c r="AR10" s="87">
        <v>0</v>
      </c>
      <c r="AS10" s="87"/>
      <c r="AT10" s="87"/>
      <c r="AU10" s="87"/>
      <c r="AV10" s="87"/>
      <c r="AW10" s="87"/>
      <c r="AX10" s="87"/>
      <c r="AY10" s="87"/>
      <c r="AZ10" s="87"/>
      <c r="BA10">
        <v>1</v>
      </c>
      <c r="BB10" s="86" t="str">
        <f>REPLACE(INDEX(GroupVertices[Group],MATCH(Edges24[[#This Row],[Vertex 1]],GroupVertices[Vertex],0)),1,1,"")</f>
        <v>1</v>
      </c>
      <c r="BC10" s="86" t="str">
        <f>REPLACE(INDEX(GroupVertices[Group],MATCH(Edges24[[#This Row],[Vertex 2]],GroupVertices[Vertex],0)),1,1,"")</f>
        <v>1</v>
      </c>
      <c r="BD10" s="51">
        <v>0</v>
      </c>
      <c r="BE10" s="52">
        <v>0</v>
      </c>
      <c r="BF10" s="51">
        <v>0</v>
      </c>
      <c r="BG10" s="52">
        <v>0</v>
      </c>
      <c r="BH10" s="51">
        <v>0</v>
      </c>
      <c r="BI10" s="52">
        <v>0</v>
      </c>
      <c r="BJ10" s="51">
        <v>10</v>
      </c>
      <c r="BK10" s="52">
        <v>100</v>
      </c>
      <c r="BL10" s="51">
        <v>10</v>
      </c>
    </row>
    <row r="11" spans="1:64" ht="15">
      <c r="A11" s="85" t="s">
        <v>219</v>
      </c>
      <c r="B11" s="85" t="s">
        <v>219</v>
      </c>
      <c r="C11" s="53"/>
      <c r="D11" s="54"/>
      <c r="E11" s="66"/>
      <c r="F11" s="55"/>
      <c r="G11" s="53"/>
      <c r="H11" s="57"/>
      <c r="I11" s="56"/>
      <c r="J11" s="56"/>
      <c r="K11" s="36" t="s">
        <v>65</v>
      </c>
      <c r="L11" s="84">
        <v>11</v>
      </c>
      <c r="M11" s="84"/>
      <c r="N11" s="63"/>
      <c r="O11" s="87" t="s">
        <v>176</v>
      </c>
      <c r="P11" s="89">
        <v>43476.58715277778</v>
      </c>
      <c r="Q11" s="87" t="s">
        <v>234</v>
      </c>
      <c r="R11" s="91" t="s">
        <v>252</v>
      </c>
      <c r="S11" s="87" t="s">
        <v>269</v>
      </c>
      <c r="T11" s="87"/>
      <c r="U11" s="87"/>
      <c r="V11" s="91" t="s">
        <v>283</v>
      </c>
      <c r="W11" s="89">
        <v>43476.58715277778</v>
      </c>
      <c r="X11" s="91" t="s">
        <v>298</v>
      </c>
      <c r="Y11" s="87"/>
      <c r="Z11" s="87"/>
      <c r="AA11" s="93" t="s">
        <v>316</v>
      </c>
      <c r="AB11" s="87"/>
      <c r="AC11" s="87" t="b">
        <v>0</v>
      </c>
      <c r="AD11" s="87">
        <v>0</v>
      </c>
      <c r="AE11" s="93" t="s">
        <v>326</v>
      </c>
      <c r="AF11" s="87" t="b">
        <v>0</v>
      </c>
      <c r="AG11" s="87" t="s">
        <v>327</v>
      </c>
      <c r="AH11" s="87"/>
      <c r="AI11" s="93" t="s">
        <v>326</v>
      </c>
      <c r="AJ11" s="87" t="b">
        <v>0</v>
      </c>
      <c r="AK11" s="87">
        <v>0</v>
      </c>
      <c r="AL11" s="93" t="s">
        <v>326</v>
      </c>
      <c r="AM11" s="87" t="s">
        <v>329</v>
      </c>
      <c r="AN11" s="87" t="b">
        <v>0</v>
      </c>
      <c r="AO11" s="93" t="s">
        <v>316</v>
      </c>
      <c r="AP11" s="87" t="s">
        <v>176</v>
      </c>
      <c r="AQ11" s="87">
        <v>0</v>
      </c>
      <c r="AR11" s="87">
        <v>0</v>
      </c>
      <c r="AS11" s="87"/>
      <c r="AT11" s="87"/>
      <c r="AU11" s="87"/>
      <c r="AV11" s="87"/>
      <c r="AW11" s="87"/>
      <c r="AX11" s="87"/>
      <c r="AY11" s="87"/>
      <c r="AZ11" s="87"/>
      <c r="BA11">
        <v>2</v>
      </c>
      <c r="BB11" s="86" t="str">
        <f>REPLACE(INDEX(GroupVertices[Group],MATCH(Edges24[[#This Row],[Vertex 1]],GroupVertices[Vertex],0)),1,1,"")</f>
        <v>1</v>
      </c>
      <c r="BC11" s="86" t="str">
        <f>REPLACE(INDEX(GroupVertices[Group],MATCH(Edges24[[#This Row],[Vertex 2]],GroupVertices[Vertex],0)),1,1,"")</f>
        <v>1</v>
      </c>
      <c r="BD11" s="51">
        <v>1</v>
      </c>
      <c r="BE11" s="52">
        <v>8.333333333333334</v>
      </c>
      <c r="BF11" s="51">
        <v>0</v>
      </c>
      <c r="BG11" s="52">
        <v>0</v>
      </c>
      <c r="BH11" s="51">
        <v>0</v>
      </c>
      <c r="BI11" s="52">
        <v>0</v>
      </c>
      <c r="BJ11" s="51">
        <v>11</v>
      </c>
      <c r="BK11" s="52">
        <v>91.66666666666667</v>
      </c>
      <c r="BL11" s="51">
        <v>12</v>
      </c>
    </row>
    <row r="12" spans="1:64" ht="15">
      <c r="A12" s="85" t="s">
        <v>219</v>
      </c>
      <c r="B12" s="85" t="s">
        <v>219</v>
      </c>
      <c r="C12" s="53"/>
      <c r="D12" s="54"/>
      <c r="E12" s="66"/>
      <c r="F12" s="55"/>
      <c r="G12" s="53"/>
      <c r="H12" s="57"/>
      <c r="I12" s="56"/>
      <c r="J12" s="56"/>
      <c r="K12" s="36" t="s">
        <v>65</v>
      </c>
      <c r="L12" s="84">
        <v>12</v>
      </c>
      <c r="M12" s="84"/>
      <c r="N12" s="63"/>
      <c r="O12" s="87" t="s">
        <v>176</v>
      </c>
      <c r="P12" s="89">
        <v>43485.76875</v>
      </c>
      <c r="Q12" s="87" t="s">
        <v>235</v>
      </c>
      <c r="R12" s="91" t="s">
        <v>253</v>
      </c>
      <c r="S12" s="87" t="s">
        <v>269</v>
      </c>
      <c r="T12" s="87"/>
      <c r="U12" s="87"/>
      <c r="V12" s="91" t="s">
        <v>283</v>
      </c>
      <c r="W12" s="89">
        <v>43485.76875</v>
      </c>
      <c r="X12" s="91" t="s">
        <v>299</v>
      </c>
      <c r="Y12" s="87"/>
      <c r="Z12" s="87"/>
      <c r="AA12" s="93" t="s">
        <v>317</v>
      </c>
      <c r="AB12" s="87"/>
      <c r="AC12" s="87" t="b">
        <v>0</v>
      </c>
      <c r="AD12" s="87">
        <v>0</v>
      </c>
      <c r="AE12" s="93" t="s">
        <v>326</v>
      </c>
      <c r="AF12" s="87" t="b">
        <v>0</v>
      </c>
      <c r="AG12" s="87" t="s">
        <v>327</v>
      </c>
      <c r="AH12" s="87"/>
      <c r="AI12" s="93" t="s">
        <v>326</v>
      </c>
      <c r="AJ12" s="87" t="b">
        <v>0</v>
      </c>
      <c r="AK12" s="87">
        <v>0</v>
      </c>
      <c r="AL12" s="93" t="s">
        <v>326</v>
      </c>
      <c r="AM12" s="87" t="s">
        <v>329</v>
      </c>
      <c r="AN12" s="87" t="b">
        <v>0</v>
      </c>
      <c r="AO12" s="93" t="s">
        <v>317</v>
      </c>
      <c r="AP12" s="87" t="s">
        <v>176</v>
      </c>
      <c r="AQ12" s="87">
        <v>0</v>
      </c>
      <c r="AR12" s="87">
        <v>0</v>
      </c>
      <c r="AS12" s="87"/>
      <c r="AT12" s="87"/>
      <c r="AU12" s="87"/>
      <c r="AV12" s="87"/>
      <c r="AW12" s="87"/>
      <c r="AX12" s="87"/>
      <c r="AY12" s="87"/>
      <c r="AZ12" s="87"/>
      <c r="BA12">
        <v>2</v>
      </c>
      <c r="BB12" s="86" t="str">
        <f>REPLACE(INDEX(GroupVertices[Group],MATCH(Edges24[[#This Row],[Vertex 1]],GroupVertices[Vertex],0)),1,1,"")</f>
        <v>1</v>
      </c>
      <c r="BC12" s="86" t="str">
        <f>REPLACE(INDEX(GroupVertices[Group],MATCH(Edges24[[#This Row],[Vertex 2]],GroupVertices[Vertex],0)),1,1,"")</f>
        <v>1</v>
      </c>
      <c r="BD12" s="51">
        <v>0</v>
      </c>
      <c r="BE12" s="52">
        <v>0</v>
      </c>
      <c r="BF12" s="51">
        <v>0</v>
      </c>
      <c r="BG12" s="52">
        <v>0</v>
      </c>
      <c r="BH12" s="51">
        <v>0</v>
      </c>
      <c r="BI12" s="52">
        <v>0</v>
      </c>
      <c r="BJ12" s="51">
        <v>10</v>
      </c>
      <c r="BK12" s="52">
        <v>100</v>
      </c>
      <c r="BL12" s="51">
        <v>10</v>
      </c>
    </row>
    <row r="13" spans="1:64" ht="15">
      <c r="A13" s="85" t="s">
        <v>220</v>
      </c>
      <c r="B13" s="85" t="s">
        <v>220</v>
      </c>
      <c r="C13" s="53"/>
      <c r="D13" s="54"/>
      <c r="E13" s="66"/>
      <c r="F13" s="55"/>
      <c r="G13" s="53"/>
      <c r="H13" s="57"/>
      <c r="I13" s="56"/>
      <c r="J13" s="56"/>
      <c r="K13" s="36" t="s">
        <v>65</v>
      </c>
      <c r="L13" s="84">
        <v>13</v>
      </c>
      <c r="M13" s="84"/>
      <c r="N13" s="63"/>
      <c r="O13" s="87" t="s">
        <v>176</v>
      </c>
      <c r="P13" s="89">
        <v>43486.33363425926</v>
      </c>
      <c r="Q13" s="87" t="s">
        <v>236</v>
      </c>
      <c r="R13" s="91" t="s">
        <v>254</v>
      </c>
      <c r="S13" s="87" t="s">
        <v>270</v>
      </c>
      <c r="T13" s="87"/>
      <c r="U13" s="87"/>
      <c r="V13" s="91" t="s">
        <v>284</v>
      </c>
      <c r="W13" s="89">
        <v>43486.33363425926</v>
      </c>
      <c r="X13" s="91" t="s">
        <v>300</v>
      </c>
      <c r="Y13" s="87"/>
      <c r="Z13" s="87"/>
      <c r="AA13" s="93" t="s">
        <v>318</v>
      </c>
      <c r="AB13" s="87"/>
      <c r="AC13" s="87" t="b">
        <v>0</v>
      </c>
      <c r="AD13" s="87">
        <v>0</v>
      </c>
      <c r="AE13" s="93" t="s">
        <v>326</v>
      </c>
      <c r="AF13" s="87" t="b">
        <v>0</v>
      </c>
      <c r="AG13" s="87" t="s">
        <v>327</v>
      </c>
      <c r="AH13" s="87"/>
      <c r="AI13" s="93" t="s">
        <v>326</v>
      </c>
      <c r="AJ13" s="87" t="b">
        <v>0</v>
      </c>
      <c r="AK13" s="87">
        <v>0</v>
      </c>
      <c r="AL13" s="93" t="s">
        <v>326</v>
      </c>
      <c r="AM13" s="87" t="s">
        <v>329</v>
      </c>
      <c r="AN13" s="87" t="b">
        <v>0</v>
      </c>
      <c r="AO13" s="93" t="s">
        <v>318</v>
      </c>
      <c r="AP13" s="87" t="s">
        <v>176</v>
      </c>
      <c r="AQ13" s="87">
        <v>0</v>
      </c>
      <c r="AR13" s="87">
        <v>0</v>
      </c>
      <c r="AS13" s="87"/>
      <c r="AT13" s="87"/>
      <c r="AU13" s="87"/>
      <c r="AV13" s="87"/>
      <c r="AW13" s="87"/>
      <c r="AX13" s="87"/>
      <c r="AY13" s="87"/>
      <c r="AZ13" s="87"/>
      <c r="BA13">
        <v>1</v>
      </c>
      <c r="BB13" s="86" t="str">
        <f>REPLACE(INDEX(GroupVertices[Group],MATCH(Edges24[[#This Row],[Vertex 1]],GroupVertices[Vertex],0)),1,1,"")</f>
        <v>1</v>
      </c>
      <c r="BC13" s="86" t="str">
        <f>REPLACE(INDEX(GroupVertices[Group],MATCH(Edges24[[#This Row],[Vertex 2]],GroupVertices[Vertex],0)),1,1,"")</f>
        <v>1</v>
      </c>
      <c r="BD13" s="51">
        <v>0</v>
      </c>
      <c r="BE13" s="52">
        <v>0</v>
      </c>
      <c r="BF13" s="51">
        <v>0</v>
      </c>
      <c r="BG13" s="52">
        <v>0</v>
      </c>
      <c r="BH13" s="51">
        <v>0</v>
      </c>
      <c r="BI13" s="52">
        <v>0</v>
      </c>
      <c r="BJ13" s="51">
        <v>9</v>
      </c>
      <c r="BK13" s="52">
        <v>100</v>
      </c>
      <c r="BL13" s="51">
        <v>9</v>
      </c>
    </row>
    <row r="14" spans="1:64" ht="15">
      <c r="A14" s="85" t="s">
        <v>221</v>
      </c>
      <c r="B14" s="85" t="s">
        <v>221</v>
      </c>
      <c r="C14" s="53"/>
      <c r="D14" s="54"/>
      <c r="E14" s="66"/>
      <c r="F14" s="55"/>
      <c r="G14" s="53"/>
      <c r="H14" s="57"/>
      <c r="I14" s="56"/>
      <c r="J14" s="56"/>
      <c r="K14" s="36" t="s">
        <v>65</v>
      </c>
      <c r="L14" s="84">
        <v>14</v>
      </c>
      <c r="M14" s="84"/>
      <c r="N14" s="63"/>
      <c r="O14" s="87" t="s">
        <v>176</v>
      </c>
      <c r="P14" s="89">
        <v>43478.82996527778</v>
      </c>
      <c r="Q14" s="87" t="s">
        <v>237</v>
      </c>
      <c r="R14" s="91" t="s">
        <v>255</v>
      </c>
      <c r="S14" s="87" t="s">
        <v>271</v>
      </c>
      <c r="T14" s="87"/>
      <c r="U14" s="87"/>
      <c r="V14" s="91" t="s">
        <v>285</v>
      </c>
      <c r="W14" s="89">
        <v>43478.82996527778</v>
      </c>
      <c r="X14" s="91" t="s">
        <v>301</v>
      </c>
      <c r="Y14" s="87"/>
      <c r="Z14" s="87"/>
      <c r="AA14" s="93" t="s">
        <v>319</v>
      </c>
      <c r="AB14" s="87"/>
      <c r="AC14" s="87" t="b">
        <v>0</v>
      </c>
      <c r="AD14" s="87">
        <v>1</v>
      </c>
      <c r="AE14" s="93" t="s">
        <v>326</v>
      </c>
      <c r="AF14" s="87" t="b">
        <v>0</v>
      </c>
      <c r="AG14" s="87" t="s">
        <v>327</v>
      </c>
      <c r="AH14" s="87"/>
      <c r="AI14" s="93" t="s">
        <v>326</v>
      </c>
      <c r="AJ14" s="87" t="b">
        <v>0</v>
      </c>
      <c r="AK14" s="87">
        <v>0</v>
      </c>
      <c r="AL14" s="93" t="s">
        <v>326</v>
      </c>
      <c r="AM14" s="87" t="s">
        <v>329</v>
      </c>
      <c r="AN14" s="87" t="b">
        <v>0</v>
      </c>
      <c r="AO14" s="93" t="s">
        <v>319</v>
      </c>
      <c r="AP14" s="87" t="s">
        <v>176</v>
      </c>
      <c r="AQ14" s="87">
        <v>0</v>
      </c>
      <c r="AR14" s="87">
        <v>0</v>
      </c>
      <c r="AS14" s="87"/>
      <c r="AT14" s="87"/>
      <c r="AU14" s="87"/>
      <c r="AV14" s="87"/>
      <c r="AW14" s="87"/>
      <c r="AX14" s="87"/>
      <c r="AY14" s="87"/>
      <c r="AZ14" s="87"/>
      <c r="BA14">
        <v>2</v>
      </c>
      <c r="BB14" s="86" t="str">
        <f>REPLACE(INDEX(GroupVertices[Group],MATCH(Edges24[[#This Row],[Vertex 1]],GroupVertices[Vertex],0)),1,1,"")</f>
        <v>1</v>
      </c>
      <c r="BC14" s="86" t="str">
        <f>REPLACE(INDEX(GroupVertices[Group],MATCH(Edges24[[#This Row],[Vertex 2]],GroupVertices[Vertex],0)),1,1,"")</f>
        <v>1</v>
      </c>
      <c r="BD14" s="51">
        <v>2</v>
      </c>
      <c r="BE14" s="52">
        <v>15.384615384615385</v>
      </c>
      <c r="BF14" s="51">
        <v>0</v>
      </c>
      <c r="BG14" s="52">
        <v>0</v>
      </c>
      <c r="BH14" s="51">
        <v>0</v>
      </c>
      <c r="BI14" s="52">
        <v>0</v>
      </c>
      <c r="BJ14" s="51">
        <v>11</v>
      </c>
      <c r="BK14" s="52">
        <v>84.61538461538461</v>
      </c>
      <c r="BL14" s="51">
        <v>13</v>
      </c>
    </row>
    <row r="15" spans="1:64" ht="15">
      <c r="A15" s="85" t="s">
        <v>221</v>
      </c>
      <c r="B15" s="85" t="s">
        <v>221</v>
      </c>
      <c r="C15" s="53"/>
      <c r="D15" s="54"/>
      <c r="E15" s="66"/>
      <c r="F15" s="55"/>
      <c r="G15" s="53"/>
      <c r="H15" s="57"/>
      <c r="I15" s="56"/>
      <c r="J15" s="56"/>
      <c r="K15" s="36" t="s">
        <v>65</v>
      </c>
      <c r="L15" s="84">
        <v>15</v>
      </c>
      <c r="M15" s="84"/>
      <c r="N15" s="63"/>
      <c r="O15" s="87" t="s">
        <v>176</v>
      </c>
      <c r="P15" s="89">
        <v>43486.33412037037</v>
      </c>
      <c r="Q15" s="87" t="s">
        <v>238</v>
      </c>
      <c r="R15" s="91" t="s">
        <v>256</v>
      </c>
      <c r="S15" s="87" t="s">
        <v>271</v>
      </c>
      <c r="T15" s="87"/>
      <c r="U15" s="87"/>
      <c r="V15" s="91" t="s">
        <v>285</v>
      </c>
      <c r="W15" s="89">
        <v>43486.33412037037</v>
      </c>
      <c r="X15" s="91" t="s">
        <v>302</v>
      </c>
      <c r="Y15" s="87"/>
      <c r="Z15" s="87"/>
      <c r="AA15" s="93" t="s">
        <v>320</v>
      </c>
      <c r="AB15" s="87"/>
      <c r="AC15" s="87" t="b">
        <v>0</v>
      </c>
      <c r="AD15" s="87">
        <v>0</v>
      </c>
      <c r="AE15" s="93" t="s">
        <v>326</v>
      </c>
      <c r="AF15" s="87" t="b">
        <v>0</v>
      </c>
      <c r="AG15" s="87" t="s">
        <v>327</v>
      </c>
      <c r="AH15" s="87"/>
      <c r="AI15" s="93" t="s">
        <v>326</v>
      </c>
      <c r="AJ15" s="87" t="b">
        <v>0</v>
      </c>
      <c r="AK15" s="87">
        <v>0</v>
      </c>
      <c r="AL15" s="93" t="s">
        <v>326</v>
      </c>
      <c r="AM15" s="87" t="s">
        <v>329</v>
      </c>
      <c r="AN15" s="87" t="b">
        <v>0</v>
      </c>
      <c r="AO15" s="93" t="s">
        <v>320</v>
      </c>
      <c r="AP15" s="87" t="s">
        <v>176</v>
      </c>
      <c r="AQ15" s="87">
        <v>0</v>
      </c>
      <c r="AR15" s="87">
        <v>0</v>
      </c>
      <c r="AS15" s="87"/>
      <c r="AT15" s="87"/>
      <c r="AU15" s="87"/>
      <c r="AV15" s="87"/>
      <c r="AW15" s="87"/>
      <c r="AX15" s="87"/>
      <c r="AY15" s="87"/>
      <c r="AZ15" s="87"/>
      <c r="BA15">
        <v>2</v>
      </c>
      <c r="BB15" s="86" t="str">
        <f>REPLACE(INDEX(GroupVertices[Group],MATCH(Edges24[[#This Row],[Vertex 1]],GroupVertices[Vertex],0)),1,1,"")</f>
        <v>1</v>
      </c>
      <c r="BC15" s="86" t="str">
        <f>REPLACE(INDEX(GroupVertices[Group],MATCH(Edges24[[#This Row],[Vertex 2]],GroupVertices[Vertex],0)),1,1,"")</f>
        <v>1</v>
      </c>
      <c r="BD15" s="51">
        <v>0</v>
      </c>
      <c r="BE15" s="52">
        <v>0</v>
      </c>
      <c r="BF15" s="51">
        <v>0</v>
      </c>
      <c r="BG15" s="52">
        <v>0</v>
      </c>
      <c r="BH15" s="51">
        <v>0</v>
      </c>
      <c r="BI15" s="52">
        <v>0</v>
      </c>
      <c r="BJ15" s="51">
        <v>10</v>
      </c>
      <c r="BK15" s="52">
        <v>100</v>
      </c>
      <c r="BL15" s="51">
        <v>10</v>
      </c>
    </row>
    <row r="16" spans="1:64" ht="15">
      <c r="A16" s="85" t="s">
        <v>222</v>
      </c>
      <c r="B16" s="85" t="s">
        <v>222</v>
      </c>
      <c r="C16" s="53"/>
      <c r="D16" s="54"/>
      <c r="E16" s="66"/>
      <c r="F16" s="55"/>
      <c r="G16" s="53"/>
      <c r="H16" s="57"/>
      <c r="I16" s="56"/>
      <c r="J16" s="56"/>
      <c r="K16" s="36" t="s">
        <v>65</v>
      </c>
      <c r="L16" s="84">
        <v>16</v>
      </c>
      <c r="M16" s="84"/>
      <c r="N16" s="63"/>
      <c r="O16" s="87" t="s">
        <v>176</v>
      </c>
      <c r="P16" s="89">
        <v>43487.31689814815</v>
      </c>
      <c r="Q16" s="87" t="s">
        <v>239</v>
      </c>
      <c r="R16" s="91" t="s">
        <v>257</v>
      </c>
      <c r="S16" s="87" t="s">
        <v>272</v>
      </c>
      <c r="T16" s="87"/>
      <c r="U16" s="87"/>
      <c r="V16" s="91" t="s">
        <v>286</v>
      </c>
      <c r="W16" s="89">
        <v>43487.31689814815</v>
      </c>
      <c r="X16" s="91" t="s">
        <v>303</v>
      </c>
      <c r="Y16" s="87"/>
      <c r="Z16" s="87"/>
      <c r="AA16" s="93" t="s">
        <v>321</v>
      </c>
      <c r="AB16" s="87"/>
      <c r="AC16" s="87" t="b">
        <v>0</v>
      </c>
      <c r="AD16" s="87">
        <v>0</v>
      </c>
      <c r="AE16" s="93" t="s">
        <v>326</v>
      </c>
      <c r="AF16" s="87" t="b">
        <v>0</v>
      </c>
      <c r="AG16" s="87" t="s">
        <v>327</v>
      </c>
      <c r="AH16" s="87"/>
      <c r="AI16" s="93" t="s">
        <v>326</v>
      </c>
      <c r="AJ16" s="87" t="b">
        <v>0</v>
      </c>
      <c r="AK16" s="87">
        <v>0</v>
      </c>
      <c r="AL16" s="93" t="s">
        <v>326</v>
      </c>
      <c r="AM16" s="87" t="s">
        <v>329</v>
      </c>
      <c r="AN16" s="87" t="b">
        <v>0</v>
      </c>
      <c r="AO16" s="93" t="s">
        <v>321</v>
      </c>
      <c r="AP16" s="87" t="s">
        <v>176</v>
      </c>
      <c r="AQ16" s="87">
        <v>0</v>
      </c>
      <c r="AR16" s="87">
        <v>0</v>
      </c>
      <c r="AS16" s="87"/>
      <c r="AT16" s="87"/>
      <c r="AU16" s="87"/>
      <c r="AV16" s="87"/>
      <c r="AW16" s="87"/>
      <c r="AX16" s="87"/>
      <c r="AY16" s="87"/>
      <c r="AZ16" s="87"/>
      <c r="BA16">
        <v>1</v>
      </c>
      <c r="BB16" s="86" t="str">
        <f>REPLACE(INDEX(GroupVertices[Group],MATCH(Edges24[[#This Row],[Vertex 1]],GroupVertices[Vertex],0)),1,1,"")</f>
        <v>1</v>
      </c>
      <c r="BC16" s="86" t="str">
        <f>REPLACE(INDEX(GroupVertices[Group],MATCH(Edges24[[#This Row],[Vertex 2]],GroupVertices[Vertex],0)),1,1,"")</f>
        <v>1</v>
      </c>
      <c r="BD16" s="51">
        <v>0</v>
      </c>
      <c r="BE16" s="52">
        <v>0</v>
      </c>
      <c r="BF16" s="51">
        <v>0</v>
      </c>
      <c r="BG16" s="52">
        <v>0</v>
      </c>
      <c r="BH16" s="51">
        <v>0</v>
      </c>
      <c r="BI16" s="52">
        <v>0</v>
      </c>
      <c r="BJ16" s="51">
        <v>9</v>
      </c>
      <c r="BK16" s="52">
        <v>100</v>
      </c>
      <c r="BL16" s="51">
        <v>9</v>
      </c>
    </row>
    <row r="17" spans="1:64" ht="15">
      <c r="A17" s="85" t="s">
        <v>223</v>
      </c>
      <c r="B17" s="85" t="s">
        <v>223</v>
      </c>
      <c r="C17" s="53"/>
      <c r="D17" s="54"/>
      <c r="E17" s="66"/>
      <c r="F17" s="55"/>
      <c r="G17" s="53"/>
      <c r="H17" s="57"/>
      <c r="I17" s="56"/>
      <c r="J17" s="56"/>
      <c r="K17" s="36" t="s">
        <v>65</v>
      </c>
      <c r="L17" s="84">
        <v>17</v>
      </c>
      <c r="M17" s="84"/>
      <c r="N17" s="63"/>
      <c r="O17" s="87" t="s">
        <v>176</v>
      </c>
      <c r="P17" s="89">
        <v>43487.31690972222</v>
      </c>
      <c r="Q17" s="87" t="s">
        <v>240</v>
      </c>
      <c r="R17" s="91" t="s">
        <v>258</v>
      </c>
      <c r="S17" s="87" t="s">
        <v>272</v>
      </c>
      <c r="T17" s="87"/>
      <c r="U17" s="87"/>
      <c r="V17" s="91" t="s">
        <v>287</v>
      </c>
      <c r="W17" s="89">
        <v>43487.31690972222</v>
      </c>
      <c r="X17" s="91" t="s">
        <v>304</v>
      </c>
      <c r="Y17" s="87"/>
      <c r="Z17" s="87"/>
      <c r="AA17" s="93" t="s">
        <v>322</v>
      </c>
      <c r="AB17" s="87"/>
      <c r="AC17" s="87" t="b">
        <v>0</v>
      </c>
      <c r="AD17" s="87">
        <v>0</v>
      </c>
      <c r="AE17" s="93" t="s">
        <v>326</v>
      </c>
      <c r="AF17" s="87" t="b">
        <v>0</v>
      </c>
      <c r="AG17" s="87" t="s">
        <v>327</v>
      </c>
      <c r="AH17" s="87"/>
      <c r="AI17" s="93" t="s">
        <v>326</v>
      </c>
      <c r="AJ17" s="87" t="b">
        <v>0</v>
      </c>
      <c r="AK17" s="87">
        <v>0</v>
      </c>
      <c r="AL17" s="93" t="s">
        <v>326</v>
      </c>
      <c r="AM17" s="87" t="s">
        <v>329</v>
      </c>
      <c r="AN17" s="87" t="b">
        <v>0</v>
      </c>
      <c r="AO17" s="93" t="s">
        <v>322</v>
      </c>
      <c r="AP17" s="87" t="s">
        <v>176</v>
      </c>
      <c r="AQ17" s="87">
        <v>0</v>
      </c>
      <c r="AR17" s="87">
        <v>0</v>
      </c>
      <c r="AS17" s="87"/>
      <c r="AT17" s="87"/>
      <c r="AU17" s="87"/>
      <c r="AV17" s="87"/>
      <c r="AW17" s="87"/>
      <c r="AX17" s="87"/>
      <c r="AY17" s="87"/>
      <c r="AZ17" s="87"/>
      <c r="BA17">
        <v>1</v>
      </c>
      <c r="BB17" s="86" t="str">
        <f>REPLACE(INDEX(GroupVertices[Group],MATCH(Edges24[[#This Row],[Vertex 1]],GroupVertices[Vertex],0)),1,1,"")</f>
        <v>1</v>
      </c>
      <c r="BC17" s="86" t="str">
        <f>REPLACE(INDEX(GroupVertices[Group],MATCH(Edges24[[#This Row],[Vertex 2]],GroupVertices[Vertex],0)),1,1,"")</f>
        <v>1</v>
      </c>
      <c r="BD17" s="51">
        <v>0</v>
      </c>
      <c r="BE17" s="52">
        <v>0</v>
      </c>
      <c r="BF17" s="51">
        <v>0</v>
      </c>
      <c r="BG17" s="52">
        <v>0</v>
      </c>
      <c r="BH17" s="51">
        <v>0</v>
      </c>
      <c r="BI17" s="52">
        <v>0</v>
      </c>
      <c r="BJ17" s="51">
        <v>9</v>
      </c>
      <c r="BK17" s="52">
        <v>100</v>
      </c>
      <c r="BL17" s="51">
        <v>9</v>
      </c>
    </row>
    <row r="18" spans="1:64" ht="15">
      <c r="A18" s="85" t="s">
        <v>224</v>
      </c>
      <c r="B18" s="85" t="s">
        <v>224</v>
      </c>
      <c r="C18" s="53"/>
      <c r="D18" s="54"/>
      <c r="E18" s="66"/>
      <c r="F18" s="55"/>
      <c r="G18" s="53"/>
      <c r="H18" s="57"/>
      <c r="I18" s="56"/>
      <c r="J18" s="56"/>
      <c r="K18" s="36" t="s">
        <v>65</v>
      </c>
      <c r="L18" s="84">
        <v>18</v>
      </c>
      <c r="M18" s="84"/>
      <c r="N18" s="63"/>
      <c r="O18" s="87" t="s">
        <v>176</v>
      </c>
      <c r="P18" s="89">
        <v>43475.50938657407</v>
      </c>
      <c r="Q18" s="87" t="s">
        <v>241</v>
      </c>
      <c r="R18" s="91" t="s">
        <v>259</v>
      </c>
      <c r="S18" s="87" t="s">
        <v>273</v>
      </c>
      <c r="T18" s="87"/>
      <c r="U18" s="87"/>
      <c r="V18" s="91" t="s">
        <v>288</v>
      </c>
      <c r="W18" s="89">
        <v>43475.50938657407</v>
      </c>
      <c r="X18" s="91" t="s">
        <v>305</v>
      </c>
      <c r="Y18" s="87"/>
      <c r="Z18" s="87"/>
      <c r="AA18" s="93" t="s">
        <v>323</v>
      </c>
      <c r="AB18" s="87"/>
      <c r="AC18" s="87" t="b">
        <v>0</v>
      </c>
      <c r="AD18" s="87">
        <v>0</v>
      </c>
      <c r="AE18" s="93" t="s">
        <v>326</v>
      </c>
      <c r="AF18" s="87" t="b">
        <v>0</v>
      </c>
      <c r="AG18" s="87" t="s">
        <v>328</v>
      </c>
      <c r="AH18" s="87"/>
      <c r="AI18" s="93" t="s">
        <v>326</v>
      </c>
      <c r="AJ18" s="87" t="b">
        <v>0</v>
      </c>
      <c r="AK18" s="87">
        <v>0</v>
      </c>
      <c r="AL18" s="93" t="s">
        <v>326</v>
      </c>
      <c r="AM18" s="87" t="s">
        <v>329</v>
      </c>
      <c r="AN18" s="87" t="b">
        <v>0</v>
      </c>
      <c r="AO18" s="93" t="s">
        <v>323</v>
      </c>
      <c r="AP18" s="87" t="s">
        <v>176</v>
      </c>
      <c r="AQ18" s="87">
        <v>0</v>
      </c>
      <c r="AR18" s="87">
        <v>0</v>
      </c>
      <c r="AS18" s="87"/>
      <c r="AT18" s="87"/>
      <c r="AU18" s="87"/>
      <c r="AV18" s="87"/>
      <c r="AW18" s="87"/>
      <c r="AX18" s="87"/>
      <c r="AY18" s="87"/>
      <c r="AZ18" s="87"/>
      <c r="BA18">
        <v>2</v>
      </c>
      <c r="BB18" s="86" t="str">
        <f>REPLACE(INDEX(GroupVertices[Group],MATCH(Edges24[[#This Row],[Vertex 1]],GroupVertices[Vertex],0)),1,1,"")</f>
        <v>1</v>
      </c>
      <c r="BC18" s="86" t="str">
        <f>REPLACE(INDEX(GroupVertices[Group],MATCH(Edges24[[#This Row],[Vertex 2]],GroupVertices[Vertex],0)),1,1,"")</f>
        <v>1</v>
      </c>
      <c r="BD18" s="51">
        <v>0</v>
      </c>
      <c r="BE18" s="52">
        <v>0</v>
      </c>
      <c r="BF18" s="51">
        <v>0</v>
      </c>
      <c r="BG18" s="52">
        <v>0</v>
      </c>
      <c r="BH18" s="51">
        <v>0</v>
      </c>
      <c r="BI18" s="52">
        <v>0</v>
      </c>
      <c r="BJ18" s="51">
        <v>9</v>
      </c>
      <c r="BK18" s="52">
        <v>100</v>
      </c>
      <c r="BL18" s="51">
        <v>9</v>
      </c>
    </row>
    <row r="19" spans="1:64" ht="15">
      <c r="A19" s="85" t="s">
        <v>224</v>
      </c>
      <c r="B19" s="85" t="s">
        <v>224</v>
      </c>
      <c r="C19" s="53"/>
      <c r="D19" s="54"/>
      <c r="E19" s="66"/>
      <c r="F19" s="55"/>
      <c r="G19" s="53"/>
      <c r="H19" s="57"/>
      <c r="I19" s="56"/>
      <c r="J19" s="56"/>
      <c r="K19" s="36" t="s">
        <v>65</v>
      </c>
      <c r="L19" s="84">
        <v>19</v>
      </c>
      <c r="M19" s="84"/>
      <c r="N19" s="63"/>
      <c r="O19" s="87" t="s">
        <v>176</v>
      </c>
      <c r="P19" s="89">
        <v>43487.31715277778</v>
      </c>
      <c r="Q19" s="87" t="s">
        <v>242</v>
      </c>
      <c r="R19" s="91" t="s">
        <v>260</v>
      </c>
      <c r="S19" s="87" t="s">
        <v>273</v>
      </c>
      <c r="T19" s="87"/>
      <c r="U19" s="87"/>
      <c r="V19" s="91" t="s">
        <v>288</v>
      </c>
      <c r="W19" s="89">
        <v>43487.31715277778</v>
      </c>
      <c r="X19" s="91" t="s">
        <v>306</v>
      </c>
      <c r="Y19" s="87"/>
      <c r="Z19" s="87"/>
      <c r="AA19" s="93" t="s">
        <v>324</v>
      </c>
      <c r="AB19" s="87"/>
      <c r="AC19" s="87" t="b">
        <v>0</v>
      </c>
      <c r="AD19" s="87">
        <v>0</v>
      </c>
      <c r="AE19" s="93" t="s">
        <v>326</v>
      </c>
      <c r="AF19" s="87" t="b">
        <v>0</v>
      </c>
      <c r="AG19" s="87" t="s">
        <v>327</v>
      </c>
      <c r="AH19" s="87"/>
      <c r="AI19" s="93" t="s">
        <v>326</v>
      </c>
      <c r="AJ19" s="87" t="b">
        <v>0</v>
      </c>
      <c r="AK19" s="87">
        <v>0</v>
      </c>
      <c r="AL19" s="93" t="s">
        <v>326</v>
      </c>
      <c r="AM19" s="87" t="s">
        <v>329</v>
      </c>
      <c r="AN19" s="87" t="b">
        <v>0</v>
      </c>
      <c r="AO19" s="93" t="s">
        <v>324</v>
      </c>
      <c r="AP19" s="87" t="s">
        <v>176</v>
      </c>
      <c r="AQ19" s="87">
        <v>0</v>
      </c>
      <c r="AR19" s="87">
        <v>0</v>
      </c>
      <c r="AS19" s="87"/>
      <c r="AT19" s="87"/>
      <c r="AU19" s="87"/>
      <c r="AV19" s="87"/>
      <c r="AW19" s="87"/>
      <c r="AX19" s="87"/>
      <c r="AY19" s="87"/>
      <c r="AZ19" s="87"/>
      <c r="BA19">
        <v>2</v>
      </c>
      <c r="BB19" s="86" t="str">
        <f>REPLACE(INDEX(GroupVertices[Group],MATCH(Edges24[[#This Row],[Vertex 1]],GroupVertices[Vertex],0)),1,1,"")</f>
        <v>1</v>
      </c>
      <c r="BC19" s="86" t="str">
        <f>REPLACE(INDEX(GroupVertices[Group],MATCH(Edges24[[#This Row],[Vertex 2]],GroupVertices[Vertex],0)),1,1,"")</f>
        <v>1</v>
      </c>
      <c r="BD19" s="51">
        <v>0</v>
      </c>
      <c r="BE19" s="52">
        <v>0</v>
      </c>
      <c r="BF19" s="51">
        <v>0</v>
      </c>
      <c r="BG19" s="52">
        <v>0</v>
      </c>
      <c r="BH19" s="51">
        <v>0</v>
      </c>
      <c r="BI19" s="52">
        <v>0</v>
      </c>
      <c r="BJ19" s="51">
        <v>9</v>
      </c>
      <c r="BK19" s="52">
        <v>100</v>
      </c>
      <c r="BL19" s="51">
        <v>9</v>
      </c>
    </row>
    <row r="20" spans="1:64" ht="15">
      <c r="A20" s="85" t="s">
        <v>225</v>
      </c>
      <c r="B20" s="85" t="s">
        <v>225</v>
      </c>
      <c r="C20" s="53"/>
      <c r="D20" s="54"/>
      <c r="E20" s="66"/>
      <c r="F20" s="55"/>
      <c r="G20" s="53"/>
      <c r="H20" s="57"/>
      <c r="I20" s="56"/>
      <c r="J20" s="56"/>
      <c r="K20" s="36" t="s">
        <v>65</v>
      </c>
      <c r="L20" s="84">
        <v>20</v>
      </c>
      <c r="M20" s="84"/>
      <c r="N20" s="63"/>
      <c r="O20" s="87" t="s">
        <v>176</v>
      </c>
      <c r="P20" s="89">
        <v>43487.88290509259</v>
      </c>
      <c r="Q20" s="87" t="s">
        <v>243</v>
      </c>
      <c r="R20" s="91" t="s">
        <v>261</v>
      </c>
      <c r="S20" s="87" t="s">
        <v>274</v>
      </c>
      <c r="T20" s="87"/>
      <c r="U20" s="87"/>
      <c r="V20" s="91" t="s">
        <v>289</v>
      </c>
      <c r="W20" s="89">
        <v>43487.88290509259</v>
      </c>
      <c r="X20" s="91" t="s">
        <v>307</v>
      </c>
      <c r="Y20" s="87"/>
      <c r="Z20" s="87"/>
      <c r="AA20" s="93" t="s">
        <v>325</v>
      </c>
      <c r="AB20" s="87"/>
      <c r="AC20" s="87" t="b">
        <v>0</v>
      </c>
      <c r="AD20" s="87">
        <v>0</v>
      </c>
      <c r="AE20" s="93" t="s">
        <v>326</v>
      </c>
      <c r="AF20" s="87" t="b">
        <v>0</v>
      </c>
      <c r="AG20" s="87" t="s">
        <v>327</v>
      </c>
      <c r="AH20" s="87"/>
      <c r="AI20" s="93" t="s">
        <v>326</v>
      </c>
      <c r="AJ20" s="87" t="b">
        <v>0</v>
      </c>
      <c r="AK20" s="87">
        <v>0</v>
      </c>
      <c r="AL20" s="93" t="s">
        <v>326</v>
      </c>
      <c r="AM20" s="87" t="s">
        <v>329</v>
      </c>
      <c r="AN20" s="87" t="b">
        <v>0</v>
      </c>
      <c r="AO20" s="93" t="s">
        <v>325</v>
      </c>
      <c r="AP20" s="87" t="s">
        <v>176</v>
      </c>
      <c r="AQ20" s="87">
        <v>0</v>
      </c>
      <c r="AR20" s="87">
        <v>0</v>
      </c>
      <c r="AS20" s="87"/>
      <c r="AT20" s="87"/>
      <c r="AU20" s="87"/>
      <c r="AV20" s="87"/>
      <c r="AW20" s="87"/>
      <c r="AX20" s="87"/>
      <c r="AY20" s="87"/>
      <c r="AZ20" s="87"/>
      <c r="BA20">
        <v>1</v>
      </c>
      <c r="BB20" s="86" t="str">
        <f>REPLACE(INDEX(GroupVertices[Group],MATCH(Edges24[[#This Row],[Vertex 1]],GroupVertices[Vertex],0)),1,1,"")</f>
        <v>1</v>
      </c>
      <c r="BC20" s="86" t="str">
        <f>REPLACE(INDEX(GroupVertices[Group],MATCH(Edges24[[#This Row],[Vertex 2]],GroupVertices[Vertex],0)),1,1,"")</f>
        <v>1</v>
      </c>
      <c r="BD20" s="51">
        <v>0</v>
      </c>
      <c r="BE20" s="52">
        <v>0</v>
      </c>
      <c r="BF20" s="51">
        <v>0</v>
      </c>
      <c r="BG20" s="52">
        <v>0</v>
      </c>
      <c r="BH20" s="51">
        <v>0</v>
      </c>
      <c r="BI20" s="52">
        <v>0</v>
      </c>
      <c r="BJ20" s="51">
        <v>11</v>
      </c>
      <c r="BK20" s="52">
        <v>100</v>
      </c>
      <c r="BL20" s="51">
        <v>11</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0"/>
    <dataValidation allowBlank="1" showInputMessage="1" showErrorMessage="1" promptTitle="Vertex 2 Name" prompt="Enter the name of the edge's second vertex." sqref="B3:B20"/>
    <dataValidation allowBlank="1" showInputMessage="1" showErrorMessage="1" promptTitle="Vertex 1 Name" prompt="Enter the name of the edge's first vertex." sqref="A3:A2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0"/>
    <dataValidation allowBlank="1" showInputMessage="1" promptTitle="Edge Width" prompt="Enter an optional edge width between 1 and 10." errorTitle="Invalid Edge Width" error="The optional edge width must be a whole number between 1 and 10." sqref="D3:D20"/>
    <dataValidation allowBlank="1" showInputMessage="1" promptTitle="Edge Color" prompt="To select an optional edge color, right-click and select Select Color on the right-click menu." sqref="C3:C2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0"/>
    <dataValidation allowBlank="1" showErrorMessage="1" sqref="N2:N2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0"/>
  </dataValidations>
  <hyperlinks>
    <hyperlink ref="R3" r:id="rId1" display="https://www.dailypolitical.com/?p=2635792"/>
    <hyperlink ref="R4" r:id="rId2" display="https://drumup.io/s/Bd4zLm"/>
    <hyperlink ref="R5" r:id="rId3" display="https://www.dailypolitical.com/2019/01/10/head-to-head-analysis-arc-group-arck-and-xcel-brands-xelb.html"/>
    <hyperlink ref="R6" r:id="rId4" display="https://weekherald.com/?p=3434492"/>
    <hyperlink ref="R7" r:id="rId5" display="http://www.conferencecalltranscripts.org/4/summary2/?id=5663369"/>
    <hyperlink ref="R8" r:id="rId6" display="https://chaffeybreeze.com/?p=2260871"/>
    <hyperlink ref="R9" r:id="rId7" display="http://www.themarketsdaily.com/?p=2179648"/>
    <hyperlink ref="R10" r:id="rId8" display="https://macondaily.com/?p=1474996"/>
    <hyperlink ref="R11" r:id="rId9" display="http://www.transcriptdaily.com/?p=2056136"/>
    <hyperlink ref="R12" r:id="rId10" display="http://www.transcriptdaily.com/?p=2076428"/>
    <hyperlink ref="R13" r:id="rId11" display="https://dakotafinancialnews.com/?p=777866"/>
    <hyperlink ref="R14" r:id="rId12" display="https://www.thestockobserver.com/2019/01/13/zacks-xcel-brands-inc-xelb-given-average-recommendation-of-strong-buy-by-brokerages.html"/>
    <hyperlink ref="R15" r:id="rId13" display="https://www.thestockobserver.com/2019/01/21/xcel-brands-xelb-downgraded-to-hold-at-zacks-investment-research.html"/>
    <hyperlink ref="R16" r:id="rId14" display="https://theenterpriseleader.com/?p=1823032"/>
    <hyperlink ref="R17" r:id="rId15" display="http://theenterpriseleader.com/?p=1823032"/>
    <hyperlink ref="R18" r:id="rId16" display="https://dispatchtribunal.com/?p=2490299"/>
    <hyperlink ref="R19" r:id="rId17" display="https://dispatchtribunal.com/?p=2515014"/>
    <hyperlink ref="R20" r:id="rId18" display="https://baseballnewssource.com/?p=3158071"/>
    <hyperlink ref="V3" r:id="rId19" display="http://pbs.twimg.com/profile_images/433324818658623488/hxhCoePy_normal.jpeg"/>
    <hyperlink ref="V4" r:id="rId20" display="http://pbs.twimg.com/profile_images/1060158056170954752/XDmPUkro_normal.jpg"/>
    <hyperlink ref="V5" r:id="rId21" display="http://pbs.twimg.com/profile_images/1060158056170954752/XDmPUkro_normal.jpg"/>
    <hyperlink ref="V6" r:id="rId22" display="http://pbs.twimg.com/profile_images/888131487710588928/TxnNBLKZ_normal.jpg"/>
    <hyperlink ref="V7" r:id="rId23" display="http://pbs.twimg.com/profile_images/487406679001026560/pubQUS9Z_normal.jpeg"/>
    <hyperlink ref="V8" r:id="rId24" display="http://pbs.twimg.com/profile_images/828754065706274816/bcfoORRd_normal.jpg"/>
    <hyperlink ref="V9" r:id="rId25" display="http://pbs.twimg.com/profile_images/849428984488185857/i3dIvJVS_normal.jpg"/>
    <hyperlink ref="V10" r:id="rId26" display="http://pbs.twimg.com/profile_images/966766832458674176/9rnz8MMA_normal.jpg"/>
    <hyperlink ref="V11" r:id="rId27" display="http://pbs.twimg.com/profile_images/852935198387732480/RZ-jnMw__normal.jpg"/>
    <hyperlink ref="V12" r:id="rId28" display="http://pbs.twimg.com/profile_images/852935198387732480/RZ-jnMw__normal.jpg"/>
    <hyperlink ref="V13" r:id="rId29" display="http://abs.twimg.com/sticky/default_profile_images/default_profile_normal.png"/>
    <hyperlink ref="V14" r:id="rId30" display="http://pbs.twimg.com/profile_images/887064077482065920/iIK7OfFQ_normal.jpg"/>
    <hyperlink ref="V15" r:id="rId31" display="http://pbs.twimg.com/profile_images/887064077482065920/iIK7OfFQ_normal.jpg"/>
    <hyperlink ref="V16" r:id="rId32" display="http://pbs.twimg.com/profile_images/966007162500562945/JE8dLxj__normal.jpg"/>
    <hyperlink ref="V17" r:id="rId33" display="http://pbs.twimg.com/profile_images/949405284031610880/kvSoG2ED_normal.jpg"/>
    <hyperlink ref="V18" r:id="rId34" display="http://pbs.twimg.com/profile_images/901201131174363137/f5XejW6W_normal.jpg"/>
    <hyperlink ref="V19" r:id="rId35" display="http://pbs.twimg.com/profile_images/901201131174363137/f5XejW6W_normal.jpg"/>
    <hyperlink ref="V20" r:id="rId36" display="http://pbs.twimg.com/profile_images/950447991495606272/ru9vq2m9_normal.jpg"/>
    <hyperlink ref="X3" r:id="rId37" display="https://twitter.com/#!/dailypoliticaln/status/1083368059669237760"/>
    <hyperlink ref="X4" r:id="rId38" display="https://twitter.com/#!/anadiobioma/status/1083382967546695680"/>
    <hyperlink ref="X5" r:id="rId39" display="https://twitter.com/#!/anadiobioma/status/1083386988013641728"/>
    <hyperlink ref="X6" r:id="rId40" display="https://twitter.com/#!/weekherald/status/1084538722278952960"/>
    <hyperlink ref="X7" r:id="rId41" display="https://twitter.com/#!/confcalltran/status/1084927527058108416"/>
    <hyperlink ref="X8" r:id="rId42" display="https://twitter.com/#!/chaffeybreeze/status/1085381346653016064"/>
    <hyperlink ref="X9" r:id="rId43" display="https://twitter.com/#!/themarketsdaily/status/1086821925140291585"/>
    <hyperlink ref="X10" r:id="rId44" display="https://twitter.com/#!/macondailynews/status/1086824220603174915"/>
    <hyperlink ref="X11" r:id="rId45" display="https://twitter.com/#!/transcriptdaily/status/1083726598866722816"/>
    <hyperlink ref="X12" r:id="rId46" display="https://twitter.com/#!/transcriptdaily/status/1087053898165207042"/>
    <hyperlink ref="X13" r:id="rId47" display="https://twitter.com/#!/dakotafinancial/status/1087258603759775744"/>
    <hyperlink ref="X14" r:id="rId48" display="https://twitter.com/#!/stocknewstimes/status/1084539365236396032"/>
    <hyperlink ref="X15" r:id="rId49" display="https://twitter.com/#!/stocknewstimes/status/1087258783573782529"/>
    <hyperlink ref="X16" r:id="rId50" display="https://twitter.com/#!/enterpriseleade/status/1087614926905065473"/>
    <hyperlink ref="X17" r:id="rId51" display="https://twitter.com/#!/registrarjourn/status/1087614931032334337"/>
    <hyperlink ref="X18" r:id="rId52" display="https://twitter.com/#!/dispatchtribune/status/1083336028788805632"/>
    <hyperlink ref="X19" r:id="rId53" display="https://twitter.com/#!/dispatchtribune/status/1087615021398532096"/>
    <hyperlink ref="X20" r:id="rId54" display="https://twitter.com/#!/bbnsnews/status/1087820043642175488"/>
  </hyperlinks>
  <printOptions/>
  <pageMargins left="0.7" right="0.7" top="0.75" bottom="0.75" header="0.3" footer="0.3"/>
  <pageSetup horizontalDpi="600" verticalDpi="600" orientation="portrait" r:id="rId58"/>
  <legacyDrawing r:id="rId56"/>
  <tableParts>
    <tablePart r:id="rId57"/>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615</v>
      </c>
      <c r="B1" s="13" t="s">
        <v>34</v>
      </c>
    </row>
    <row r="2" spans="1:2" ht="15">
      <c r="A2" s="117" t="s">
        <v>221</v>
      </c>
      <c r="B2" s="86">
        <v>0</v>
      </c>
    </row>
    <row r="3" spans="1:2" ht="15">
      <c r="A3" s="117" t="s">
        <v>220</v>
      </c>
      <c r="B3" s="86">
        <v>0</v>
      </c>
    </row>
    <row r="4" spans="1:2" ht="15">
      <c r="A4" s="117" t="s">
        <v>219</v>
      </c>
      <c r="B4" s="86">
        <v>0</v>
      </c>
    </row>
    <row r="5" spans="1:2" ht="15">
      <c r="A5" s="117" t="s">
        <v>222</v>
      </c>
      <c r="B5" s="86">
        <v>0</v>
      </c>
    </row>
    <row r="6" spans="1:2" ht="15">
      <c r="A6" s="117" t="s">
        <v>225</v>
      </c>
      <c r="B6" s="86">
        <v>0</v>
      </c>
    </row>
    <row r="7" spans="1:2" ht="15">
      <c r="A7" s="117" t="s">
        <v>224</v>
      </c>
      <c r="B7" s="86">
        <v>0</v>
      </c>
    </row>
    <row r="8" spans="1:2" ht="15">
      <c r="A8" s="117" t="s">
        <v>223</v>
      </c>
      <c r="B8" s="86">
        <v>0</v>
      </c>
    </row>
    <row r="9" spans="1:2" ht="15">
      <c r="A9" s="117" t="s">
        <v>214</v>
      </c>
      <c r="B9" s="86">
        <v>0</v>
      </c>
    </row>
    <row r="10" spans="1:2" ht="15">
      <c r="A10" s="117" t="s">
        <v>213</v>
      </c>
      <c r="B10" s="86">
        <v>0</v>
      </c>
    </row>
    <row r="11" spans="1:2" ht="15">
      <c r="A11" s="117" t="s">
        <v>212</v>
      </c>
      <c r="B11" s="86">
        <v>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44"/>
  <sheetViews>
    <sheetView tabSelected="1" workbookViewId="0" topLeftCell="A1"/>
  </sheetViews>
  <sheetFormatPr defaultColWidth="9.140625" defaultRowHeight="15"/>
  <cols>
    <col min="1" max="1" width="14.8515625" style="0" bestFit="1" customWidth="1"/>
    <col min="2" max="2" width="25.00390625" style="0" bestFit="1" customWidth="1"/>
  </cols>
  <sheetData>
    <row r="25" spans="1:2" ht="15">
      <c r="A25" s="127" t="s">
        <v>617</v>
      </c>
      <c r="B25" t="s">
        <v>616</v>
      </c>
    </row>
    <row r="26" spans="1:2" ht="15">
      <c r="A26" s="128">
        <v>43475.50938657407</v>
      </c>
      <c r="B26" s="3">
        <v>1</v>
      </c>
    </row>
    <row r="27" spans="1:2" ht="15">
      <c r="A27" s="128">
        <v>43475.59777777778</v>
      </c>
      <c r="B27" s="3">
        <v>1</v>
      </c>
    </row>
    <row r="28" spans="1:2" ht="15">
      <c r="A28" s="128">
        <v>43475.63891203704</v>
      </c>
      <c r="B28" s="3">
        <v>1</v>
      </c>
    </row>
    <row r="29" spans="1:2" ht="15">
      <c r="A29" s="128">
        <v>43475.65</v>
      </c>
      <c r="B29" s="3">
        <v>1</v>
      </c>
    </row>
    <row r="30" spans="1:2" ht="15">
      <c r="A30" s="128">
        <v>43476.58715277778</v>
      </c>
      <c r="B30" s="3">
        <v>1</v>
      </c>
    </row>
    <row r="31" spans="1:2" ht="15">
      <c r="A31" s="128">
        <v>43478.82818287037</v>
      </c>
      <c r="B31" s="3">
        <v>1</v>
      </c>
    </row>
    <row r="32" spans="1:2" ht="15">
      <c r="A32" s="128">
        <v>43478.82996527778</v>
      </c>
      <c r="B32" s="3">
        <v>1</v>
      </c>
    </row>
    <row r="33" spans="1:2" ht="15">
      <c r="A33" s="128">
        <v>43479.901087962964</v>
      </c>
      <c r="B33" s="3">
        <v>1</v>
      </c>
    </row>
    <row r="34" spans="1:2" ht="15">
      <c r="A34" s="128">
        <v>43481.153391203705</v>
      </c>
      <c r="B34" s="3">
        <v>1</v>
      </c>
    </row>
    <row r="35" spans="1:2" ht="15">
      <c r="A35" s="128">
        <v>43485.12862268519</v>
      </c>
      <c r="B35" s="3">
        <v>1</v>
      </c>
    </row>
    <row r="36" spans="1:2" ht="15">
      <c r="A36" s="128">
        <v>43485.13496527778</v>
      </c>
      <c r="B36" s="3">
        <v>1</v>
      </c>
    </row>
    <row r="37" spans="1:2" ht="15">
      <c r="A37" s="128">
        <v>43485.76875</v>
      </c>
      <c r="B37" s="3">
        <v>1</v>
      </c>
    </row>
    <row r="38" spans="1:2" ht="15">
      <c r="A38" s="128">
        <v>43486.33363425926</v>
      </c>
      <c r="B38" s="3">
        <v>1</v>
      </c>
    </row>
    <row r="39" spans="1:2" ht="15">
      <c r="A39" s="128">
        <v>43486.33412037037</v>
      </c>
      <c r="B39" s="3">
        <v>1</v>
      </c>
    </row>
    <row r="40" spans="1:2" ht="15">
      <c r="A40" s="128">
        <v>43487.31689814815</v>
      </c>
      <c r="B40" s="3">
        <v>1</v>
      </c>
    </row>
    <row r="41" spans="1:2" ht="15">
      <c r="A41" s="128">
        <v>43487.31690972222</v>
      </c>
      <c r="B41" s="3">
        <v>1</v>
      </c>
    </row>
    <row r="42" spans="1:2" ht="15">
      <c r="A42" s="128">
        <v>43487.31715277778</v>
      </c>
      <c r="B42" s="3">
        <v>1</v>
      </c>
    </row>
    <row r="43" spans="1:2" ht="15">
      <c r="A43" s="128">
        <v>43487.88290509259</v>
      </c>
      <c r="B43" s="3">
        <v>1</v>
      </c>
    </row>
    <row r="44" spans="1:2" ht="15">
      <c r="A44" s="128" t="s">
        <v>618</v>
      </c>
      <c r="B44" s="3">
        <v>18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331</v>
      </c>
      <c r="AE2" s="13" t="s">
        <v>332</v>
      </c>
      <c r="AF2" s="13" t="s">
        <v>333</v>
      </c>
      <c r="AG2" s="13" t="s">
        <v>334</v>
      </c>
      <c r="AH2" s="13" t="s">
        <v>335</v>
      </c>
      <c r="AI2" s="13" t="s">
        <v>336</v>
      </c>
      <c r="AJ2" s="13" t="s">
        <v>337</v>
      </c>
      <c r="AK2" s="13" t="s">
        <v>338</v>
      </c>
      <c r="AL2" s="13" t="s">
        <v>339</v>
      </c>
      <c r="AM2" s="13" t="s">
        <v>340</v>
      </c>
      <c r="AN2" s="13" t="s">
        <v>341</v>
      </c>
      <c r="AO2" s="13" t="s">
        <v>342</v>
      </c>
      <c r="AP2" s="13" t="s">
        <v>343</v>
      </c>
      <c r="AQ2" s="13" t="s">
        <v>344</v>
      </c>
      <c r="AR2" s="13" t="s">
        <v>345</v>
      </c>
      <c r="AS2" s="13" t="s">
        <v>192</v>
      </c>
      <c r="AT2" s="13" t="s">
        <v>346</v>
      </c>
      <c r="AU2" s="13" t="s">
        <v>347</v>
      </c>
      <c r="AV2" s="13" t="s">
        <v>348</v>
      </c>
      <c r="AW2" s="13" t="s">
        <v>349</v>
      </c>
      <c r="AX2" s="13" t="s">
        <v>350</v>
      </c>
      <c r="AY2" s="13" t="s">
        <v>351</v>
      </c>
      <c r="AZ2" s="13" t="s">
        <v>467</v>
      </c>
      <c r="BA2" s="122" t="s">
        <v>535</v>
      </c>
      <c r="BB2" s="122" t="s">
        <v>540</v>
      </c>
      <c r="BC2" s="122" t="s">
        <v>541</v>
      </c>
      <c r="BD2" s="122" t="s">
        <v>543</v>
      </c>
      <c r="BE2" s="122" t="s">
        <v>544</v>
      </c>
      <c r="BF2" s="122" t="s">
        <v>545</v>
      </c>
      <c r="BG2" s="122" t="s">
        <v>546</v>
      </c>
      <c r="BH2" s="122" t="s">
        <v>558</v>
      </c>
      <c r="BI2" s="122" t="s">
        <v>562</v>
      </c>
      <c r="BJ2" s="122" t="s">
        <v>574</v>
      </c>
      <c r="BK2" s="122" t="s">
        <v>604</v>
      </c>
      <c r="BL2" s="122" t="s">
        <v>605</v>
      </c>
      <c r="BM2" s="122" t="s">
        <v>606</v>
      </c>
      <c r="BN2" s="122" t="s">
        <v>607</v>
      </c>
      <c r="BO2" s="122" t="s">
        <v>608</v>
      </c>
      <c r="BP2" s="122" t="s">
        <v>609</v>
      </c>
      <c r="BQ2" s="122" t="s">
        <v>610</v>
      </c>
      <c r="BR2" s="122" t="s">
        <v>611</v>
      </c>
      <c r="BS2" s="122" t="s">
        <v>613</v>
      </c>
      <c r="BT2" s="3"/>
      <c r="BU2" s="3"/>
    </row>
    <row r="3" spans="1:73" ht="15" customHeight="1">
      <c r="A3" s="50" t="s">
        <v>212</v>
      </c>
      <c r="B3" s="53"/>
      <c r="C3" s="53" t="s">
        <v>64</v>
      </c>
      <c r="D3" s="54">
        <v>1000</v>
      </c>
      <c r="E3" s="55"/>
      <c r="F3" s="113" t="s">
        <v>276</v>
      </c>
      <c r="G3" s="53"/>
      <c r="H3" s="57" t="s">
        <v>212</v>
      </c>
      <c r="I3" s="56"/>
      <c r="J3" s="56"/>
      <c r="K3" s="115" t="s">
        <v>412</v>
      </c>
      <c r="L3" s="59">
        <v>1</v>
      </c>
      <c r="M3" s="60">
        <v>8843.169921875</v>
      </c>
      <c r="N3" s="60">
        <v>4999.5</v>
      </c>
      <c r="O3" s="58"/>
      <c r="P3" s="61"/>
      <c r="Q3" s="61"/>
      <c r="R3" s="51"/>
      <c r="S3" s="51">
        <v>1</v>
      </c>
      <c r="T3" s="51">
        <v>1</v>
      </c>
      <c r="U3" s="52">
        <v>0</v>
      </c>
      <c r="V3" s="52">
        <v>0</v>
      </c>
      <c r="W3" s="52">
        <v>0.071429</v>
      </c>
      <c r="X3" s="52">
        <v>0.999961</v>
      </c>
      <c r="Y3" s="52">
        <v>0</v>
      </c>
      <c r="Z3" s="52" t="s">
        <v>477</v>
      </c>
      <c r="AA3" s="62">
        <v>3</v>
      </c>
      <c r="AB3" s="62"/>
      <c r="AC3" s="63"/>
      <c r="AD3" s="86" t="s">
        <v>352</v>
      </c>
      <c r="AE3" s="86">
        <v>10</v>
      </c>
      <c r="AF3" s="86">
        <v>937</v>
      </c>
      <c r="AG3" s="86">
        <v>900597</v>
      </c>
      <c r="AH3" s="86">
        <v>0</v>
      </c>
      <c r="AI3" s="86"/>
      <c r="AJ3" s="86" t="s">
        <v>366</v>
      </c>
      <c r="AK3" s="86"/>
      <c r="AL3" s="86"/>
      <c r="AM3" s="86"/>
      <c r="AN3" s="88">
        <v>41681.81810185185</v>
      </c>
      <c r="AO3" s="86"/>
      <c r="AP3" s="86" t="b">
        <v>1</v>
      </c>
      <c r="AQ3" s="86" t="b">
        <v>0</v>
      </c>
      <c r="AR3" s="86" t="b">
        <v>0</v>
      </c>
      <c r="AS3" s="86" t="s">
        <v>327</v>
      </c>
      <c r="AT3" s="86">
        <v>80</v>
      </c>
      <c r="AU3" s="90" t="s">
        <v>396</v>
      </c>
      <c r="AV3" s="86" t="b">
        <v>0</v>
      </c>
      <c r="AW3" s="86" t="s">
        <v>397</v>
      </c>
      <c r="AX3" s="90" t="s">
        <v>398</v>
      </c>
      <c r="AY3" s="86" t="s">
        <v>66</v>
      </c>
      <c r="AZ3" s="86" t="str">
        <f>REPLACE(INDEX(GroupVertices[Group],MATCH(Vertices[[#This Row],[Vertex]],GroupVertices[Vertex],0)),1,1,"")</f>
        <v>1</v>
      </c>
      <c r="BA3" s="51" t="s">
        <v>244</v>
      </c>
      <c r="BB3" s="51" t="s">
        <v>244</v>
      </c>
      <c r="BC3" s="51" t="s">
        <v>262</v>
      </c>
      <c r="BD3" s="51" t="s">
        <v>262</v>
      </c>
      <c r="BE3" s="51"/>
      <c r="BF3" s="51"/>
      <c r="BG3" s="123" t="s">
        <v>547</v>
      </c>
      <c r="BH3" s="123" t="s">
        <v>547</v>
      </c>
      <c r="BI3" s="123" t="s">
        <v>563</v>
      </c>
      <c r="BJ3" s="123" t="s">
        <v>563</v>
      </c>
      <c r="BK3" s="123">
        <v>0</v>
      </c>
      <c r="BL3" s="126">
        <v>0</v>
      </c>
      <c r="BM3" s="123">
        <v>0</v>
      </c>
      <c r="BN3" s="126">
        <v>0</v>
      </c>
      <c r="BO3" s="123">
        <v>0</v>
      </c>
      <c r="BP3" s="126">
        <v>0</v>
      </c>
      <c r="BQ3" s="123">
        <v>11</v>
      </c>
      <c r="BR3" s="126">
        <v>100</v>
      </c>
      <c r="BS3" s="123">
        <v>11</v>
      </c>
      <c r="BT3" s="3"/>
      <c r="BU3" s="3"/>
    </row>
    <row r="4" spans="1:76" ht="15">
      <c r="A4" s="14" t="s">
        <v>213</v>
      </c>
      <c r="B4" s="15"/>
      <c r="C4" s="15" t="s">
        <v>64</v>
      </c>
      <c r="D4" s="94">
        <v>162</v>
      </c>
      <c r="E4" s="82"/>
      <c r="F4" s="113" t="s">
        <v>277</v>
      </c>
      <c r="G4" s="15"/>
      <c r="H4" s="16" t="s">
        <v>213</v>
      </c>
      <c r="I4" s="67"/>
      <c r="J4" s="67"/>
      <c r="K4" s="115" t="s">
        <v>413</v>
      </c>
      <c r="L4" s="95">
        <v>1</v>
      </c>
      <c r="M4" s="96">
        <v>6921.33544921875</v>
      </c>
      <c r="N4" s="96">
        <v>4999.5</v>
      </c>
      <c r="O4" s="78"/>
      <c r="P4" s="97"/>
      <c r="Q4" s="97"/>
      <c r="R4" s="98"/>
      <c r="S4" s="51">
        <v>1</v>
      </c>
      <c r="T4" s="51">
        <v>1</v>
      </c>
      <c r="U4" s="52">
        <v>0</v>
      </c>
      <c r="V4" s="52">
        <v>0</v>
      </c>
      <c r="W4" s="52">
        <v>0.071429</v>
      </c>
      <c r="X4" s="52">
        <v>0.999961</v>
      </c>
      <c r="Y4" s="52">
        <v>0</v>
      </c>
      <c r="Z4" s="52" t="s">
        <v>477</v>
      </c>
      <c r="AA4" s="83">
        <v>4</v>
      </c>
      <c r="AB4" s="83"/>
      <c r="AC4" s="99"/>
      <c r="AD4" s="86" t="s">
        <v>353</v>
      </c>
      <c r="AE4" s="86">
        <v>184</v>
      </c>
      <c r="AF4" s="86">
        <v>35</v>
      </c>
      <c r="AG4" s="86">
        <v>240</v>
      </c>
      <c r="AH4" s="86">
        <v>56</v>
      </c>
      <c r="AI4" s="86"/>
      <c r="AJ4" s="86" t="s">
        <v>367</v>
      </c>
      <c r="AK4" s="86" t="s">
        <v>375</v>
      </c>
      <c r="AL4" s="86"/>
      <c r="AM4" s="86"/>
      <c r="AN4" s="88">
        <v>41246.19280092593</v>
      </c>
      <c r="AO4" s="90" t="s">
        <v>385</v>
      </c>
      <c r="AP4" s="86" t="b">
        <v>1</v>
      </c>
      <c r="AQ4" s="86" t="b">
        <v>0</v>
      </c>
      <c r="AR4" s="86" t="b">
        <v>0</v>
      </c>
      <c r="AS4" s="86" t="s">
        <v>327</v>
      </c>
      <c r="AT4" s="86">
        <v>0</v>
      </c>
      <c r="AU4" s="90" t="s">
        <v>396</v>
      </c>
      <c r="AV4" s="86" t="b">
        <v>0</v>
      </c>
      <c r="AW4" s="86" t="s">
        <v>397</v>
      </c>
      <c r="AX4" s="90" t="s">
        <v>399</v>
      </c>
      <c r="AY4" s="86" t="s">
        <v>66</v>
      </c>
      <c r="AZ4" s="86" t="str">
        <f>REPLACE(INDEX(GroupVertices[Group],MATCH(Vertices[[#This Row],[Vertex]],GroupVertices[Vertex],0)),1,1,"")</f>
        <v>1</v>
      </c>
      <c r="BA4" s="51" t="s">
        <v>536</v>
      </c>
      <c r="BB4" s="51" t="s">
        <v>536</v>
      </c>
      <c r="BC4" s="51" t="s">
        <v>542</v>
      </c>
      <c r="BD4" s="51" t="s">
        <v>542</v>
      </c>
      <c r="BE4" s="51"/>
      <c r="BF4" s="51"/>
      <c r="BG4" s="123" t="s">
        <v>547</v>
      </c>
      <c r="BH4" s="123" t="s">
        <v>547</v>
      </c>
      <c r="BI4" s="123" t="s">
        <v>563</v>
      </c>
      <c r="BJ4" s="123" t="s">
        <v>563</v>
      </c>
      <c r="BK4" s="123">
        <v>0</v>
      </c>
      <c r="BL4" s="126">
        <v>0</v>
      </c>
      <c r="BM4" s="123">
        <v>0</v>
      </c>
      <c r="BN4" s="126">
        <v>0</v>
      </c>
      <c r="BO4" s="123">
        <v>0</v>
      </c>
      <c r="BP4" s="126">
        <v>0</v>
      </c>
      <c r="BQ4" s="123">
        <v>22</v>
      </c>
      <c r="BR4" s="126">
        <v>100</v>
      </c>
      <c r="BS4" s="123">
        <v>22</v>
      </c>
      <c r="BT4" s="2"/>
      <c r="BU4" s="3"/>
      <c r="BV4" s="3"/>
      <c r="BW4" s="3"/>
      <c r="BX4" s="3"/>
    </row>
    <row r="5" spans="1:76" ht="15">
      <c r="A5" s="14" t="s">
        <v>214</v>
      </c>
      <c r="B5" s="15"/>
      <c r="C5" s="15" t="s">
        <v>64</v>
      </c>
      <c r="D5" s="94">
        <v>570.0149812734082</v>
      </c>
      <c r="E5" s="82"/>
      <c r="F5" s="113" t="s">
        <v>278</v>
      </c>
      <c r="G5" s="15"/>
      <c r="H5" s="16" t="s">
        <v>214</v>
      </c>
      <c r="I5" s="67"/>
      <c r="J5" s="67"/>
      <c r="K5" s="115" t="s">
        <v>414</v>
      </c>
      <c r="L5" s="95">
        <v>1</v>
      </c>
      <c r="M5" s="96">
        <v>4999.5</v>
      </c>
      <c r="N5" s="96">
        <v>4999.5</v>
      </c>
      <c r="O5" s="78"/>
      <c r="P5" s="97"/>
      <c r="Q5" s="97"/>
      <c r="R5" s="98"/>
      <c r="S5" s="51">
        <v>1</v>
      </c>
      <c r="T5" s="51">
        <v>1</v>
      </c>
      <c r="U5" s="52">
        <v>0</v>
      </c>
      <c r="V5" s="52">
        <v>0</v>
      </c>
      <c r="W5" s="52">
        <v>0.071429</v>
      </c>
      <c r="X5" s="52">
        <v>0.999961</v>
      </c>
      <c r="Y5" s="52">
        <v>0</v>
      </c>
      <c r="Z5" s="52" t="s">
        <v>477</v>
      </c>
      <c r="AA5" s="83">
        <v>5</v>
      </c>
      <c r="AB5" s="83"/>
      <c r="AC5" s="99"/>
      <c r="AD5" s="86" t="s">
        <v>354</v>
      </c>
      <c r="AE5" s="86">
        <v>44</v>
      </c>
      <c r="AF5" s="86">
        <v>473</v>
      </c>
      <c r="AG5" s="86">
        <v>448907</v>
      </c>
      <c r="AH5" s="86">
        <v>0</v>
      </c>
      <c r="AI5" s="86"/>
      <c r="AJ5" s="86" t="s">
        <v>368</v>
      </c>
      <c r="AK5" s="86"/>
      <c r="AL5" s="90" t="s">
        <v>378</v>
      </c>
      <c r="AM5" s="86"/>
      <c r="AN5" s="88">
        <v>42936.831782407404</v>
      </c>
      <c r="AO5" s="90" t="s">
        <v>386</v>
      </c>
      <c r="AP5" s="86" t="b">
        <v>1</v>
      </c>
      <c r="AQ5" s="86" t="b">
        <v>0</v>
      </c>
      <c r="AR5" s="86" t="b">
        <v>0</v>
      </c>
      <c r="AS5" s="86" t="s">
        <v>327</v>
      </c>
      <c r="AT5" s="86">
        <v>9</v>
      </c>
      <c r="AU5" s="86"/>
      <c r="AV5" s="86" t="b">
        <v>0</v>
      </c>
      <c r="AW5" s="86" t="s">
        <v>397</v>
      </c>
      <c r="AX5" s="90" t="s">
        <v>400</v>
      </c>
      <c r="AY5" s="86" t="s">
        <v>66</v>
      </c>
      <c r="AZ5" s="86" t="str">
        <f>REPLACE(INDEX(GroupVertices[Group],MATCH(Vertices[[#This Row],[Vertex]],GroupVertices[Vertex],0)),1,1,"")</f>
        <v>1</v>
      </c>
      <c r="BA5" s="51" t="s">
        <v>247</v>
      </c>
      <c r="BB5" s="51" t="s">
        <v>247</v>
      </c>
      <c r="BC5" s="51" t="s">
        <v>264</v>
      </c>
      <c r="BD5" s="51" t="s">
        <v>264</v>
      </c>
      <c r="BE5" s="51"/>
      <c r="BF5" s="51"/>
      <c r="BG5" s="123" t="s">
        <v>548</v>
      </c>
      <c r="BH5" s="123" t="s">
        <v>548</v>
      </c>
      <c r="BI5" s="123" t="s">
        <v>564</v>
      </c>
      <c r="BJ5" s="123" t="s">
        <v>564</v>
      </c>
      <c r="BK5" s="123">
        <v>0</v>
      </c>
      <c r="BL5" s="126">
        <v>0</v>
      </c>
      <c r="BM5" s="123">
        <v>0</v>
      </c>
      <c r="BN5" s="126">
        <v>0</v>
      </c>
      <c r="BO5" s="123">
        <v>0</v>
      </c>
      <c r="BP5" s="126">
        <v>0</v>
      </c>
      <c r="BQ5" s="123">
        <v>11</v>
      </c>
      <c r="BR5" s="126">
        <v>100</v>
      </c>
      <c r="BS5" s="123">
        <v>11</v>
      </c>
      <c r="BT5" s="2"/>
      <c r="BU5" s="3"/>
      <c r="BV5" s="3"/>
      <c r="BW5" s="3"/>
      <c r="BX5" s="3"/>
    </row>
    <row r="6" spans="1:76" ht="15">
      <c r="A6" s="14" t="s">
        <v>215</v>
      </c>
      <c r="B6" s="15"/>
      <c r="C6" s="15" t="s">
        <v>64</v>
      </c>
      <c r="D6" s="94">
        <v>952.9213483146067</v>
      </c>
      <c r="E6" s="82"/>
      <c r="F6" s="113" t="s">
        <v>279</v>
      </c>
      <c r="G6" s="15"/>
      <c r="H6" s="16" t="s">
        <v>215</v>
      </c>
      <c r="I6" s="67"/>
      <c r="J6" s="67"/>
      <c r="K6" s="115" t="s">
        <v>415</v>
      </c>
      <c r="L6" s="95">
        <v>1</v>
      </c>
      <c r="M6" s="96">
        <v>1155.8297119140625</v>
      </c>
      <c r="N6" s="96">
        <v>1901.7708740234375</v>
      </c>
      <c r="O6" s="78"/>
      <c r="P6" s="97"/>
      <c r="Q6" s="97"/>
      <c r="R6" s="98"/>
      <c r="S6" s="51">
        <v>1</v>
      </c>
      <c r="T6" s="51">
        <v>1</v>
      </c>
      <c r="U6" s="52">
        <v>0</v>
      </c>
      <c r="V6" s="52">
        <v>0</v>
      </c>
      <c r="W6" s="52">
        <v>0.071429</v>
      </c>
      <c r="X6" s="52">
        <v>0.999961</v>
      </c>
      <c r="Y6" s="52">
        <v>0</v>
      </c>
      <c r="Z6" s="52" t="s">
        <v>477</v>
      </c>
      <c r="AA6" s="83">
        <v>6</v>
      </c>
      <c r="AB6" s="83"/>
      <c r="AC6" s="99"/>
      <c r="AD6" s="86" t="s">
        <v>355</v>
      </c>
      <c r="AE6" s="86">
        <v>25</v>
      </c>
      <c r="AF6" s="86">
        <v>717</v>
      </c>
      <c r="AG6" s="86">
        <v>616059</v>
      </c>
      <c r="AH6" s="86">
        <v>0</v>
      </c>
      <c r="AI6" s="86"/>
      <c r="AJ6" s="86" t="s">
        <v>369</v>
      </c>
      <c r="AK6" s="86"/>
      <c r="AL6" s="86"/>
      <c r="AM6" s="86"/>
      <c r="AN6" s="88">
        <v>41831.053819444445</v>
      </c>
      <c r="AO6" s="86"/>
      <c r="AP6" s="86" t="b">
        <v>1</v>
      </c>
      <c r="AQ6" s="86" t="b">
        <v>0</v>
      </c>
      <c r="AR6" s="86" t="b">
        <v>0</v>
      </c>
      <c r="AS6" s="86" t="s">
        <v>327</v>
      </c>
      <c r="AT6" s="86">
        <v>76</v>
      </c>
      <c r="AU6" s="90" t="s">
        <v>396</v>
      </c>
      <c r="AV6" s="86" t="b">
        <v>0</v>
      </c>
      <c r="AW6" s="86" t="s">
        <v>397</v>
      </c>
      <c r="AX6" s="90" t="s">
        <v>401</v>
      </c>
      <c r="AY6" s="86" t="s">
        <v>66</v>
      </c>
      <c r="AZ6" s="86" t="str">
        <f>REPLACE(INDEX(GroupVertices[Group],MATCH(Vertices[[#This Row],[Vertex]],GroupVertices[Vertex],0)),1,1,"")</f>
        <v>1</v>
      </c>
      <c r="BA6" s="51" t="s">
        <v>248</v>
      </c>
      <c r="BB6" s="51" t="s">
        <v>248</v>
      </c>
      <c r="BC6" s="51" t="s">
        <v>265</v>
      </c>
      <c r="BD6" s="51" t="s">
        <v>265</v>
      </c>
      <c r="BE6" s="51"/>
      <c r="BF6" s="51"/>
      <c r="BG6" s="123" t="s">
        <v>549</v>
      </c>
      <c r="BH6" s="123" t="s">
        <v>549</v>
      </c>
      <c r="BI6" s="123" t="s">
        <v>565</v>
      </c>
      <c r="BJ6" s="123" t="s">
        <v>565</v>
      </c>
      <c r="BK6" s="123">
        <v>0</v>
      </c>
      <c r="BL6" s="126">
        <v>0</v>
      </c>
      <c r="BM6" s="123">
        <v>0</v>
      </c>
      <c r="BN6" s="126">
        <v>0</v>
      </c>
      <c r="BO6" s="123">
        <v>0</v>
      </c>
      <c r="BP6" s="126">
        <v>0</v>
      </c>
      <c r="BQ6" s="123">
        <v>14</v>
      </c>
      <c r="BR6" s="126">
        <v>100</v>
      </c>
      <c r="BS6" s="123">
        <v>14</v>
      </c>
      <c r="BT6" s="2"/>
      <c r="BU6" s="3"/>
      <c r="BV6" s="3"/>
      <c r="BW6" s="3"/>
      <c r="BX6" s="3"/>
    </row>
    <row r="7" spans="1:76" ht="15">
      <c r="A7" s="14" t="s">
        <v>216</v>
      </c>
      <c r="B7" s="15"/>
      <c r="C7" s="15" t="s">
        <v>64</v>
      </c>
      <c r="D7" s="94">
        <v>162</v>
      </c>
      <c r="E7" s="82"/>
      <c r="F7" s="113" t="s">
        <v>280</v>
      </c>
      <c r="G7" s="15"/>
      <c r="H7" s="16" t="s">
        <v>216</v>
      </c>
      <c r="I7" s="67"/>
      <c r="J7" s="67"/>
      <c r="K7" s="115" t="s">
        <v>416</v>
      </c>
      <c r="L7" s="95">
        <v>1</v>
      </c>
      <c r="M7" s="96">
        <v>6921.33544921875</v>
      </c>
      <c r="N7" s="96">
        <v>1901.7708740234375</v>
      </c>
      <c r="O7" s="78"/>
      <c r="P7" s="97"/>
      <c r="Q7" s="97"/>
      <c r="R7" s="98"/>
      <c r="S7" s="51">
        <v>1</v>
      </c>
      <c r="T7" s="51">
        <v>1</v>
      </c>
      <c r="U7" s="52">
        <v>0</v>
      </c>
      <c r="V7" s="52">
        <v>0</v>
      </c>
      <c r="W7" s="52">
        <v>0.071429</v>
      </c>
      <c r="X7" s="52">
        <v>0.999961</v>
      </c>
      <c r="Y7" s="52">
        <v>0</v>
      </c>
      <c r="Z7" s="52" t="s">
        <v>477</v>
      </c>
      <c r="AA7" s="83">
        <v>7</v>
      </c>
      <c r="AB7" s="83"/>
      <c r="AC7" s="99"/>
      <c r="AD7" s="86" t="s">
        <v>356</v>
      </c>
      <c r="AE7" s="86">
        <v>13</v>
      </c>
      <c r="AF7" s="86">
        <v>213</v>
      </c>
      <c r="AG7" s="86">
        <v>491951</v>
      </c>
      <c r="AH7" s="86">
        <v>0</v>
      </c>
      <c r="AI7" s="86"/>
      <c r="AJ7" s="86" t="s">
        <v>370</v>
      </c>
      <c r="AK7" s="86"/>
      <c r="AL7" s="90" t="s">
        <v>379</v>
      </c>
      <c r="AM7" s="86"/>
      <c r="AN7" s="88">
        <v>42772.97840277778</v>
      </c>
      <c r="AO7" s="90" t="s">
        <v>387</v>
      </c>
      <c r="AP7" s="86" t="b">
        <v>0</v>
      </c>
      <c r="AQ7" s="86" t="b">
        <v>0</v>
      </c>
      <c r="AR7" s="86" t="b">
        <v>0</v>
      </c>
      <c r="AS7" s="86" t="s">
        <v>327</v>
      </c>
      <c r="AT7" s="86">
        <v>8</v>
      </c>
      <c r="AU7" s="90" t="s">
        <v>396</v>
      </c>
      <c r="AV7" s="86" t="b">
        <v>0</v>
      </c>
      <c r="AW7" s="86" t="s">
        <v>397</v>
      </c>
      <c r="AX7" s="90" t="s">
        <v>402</v>
      </c>
      <c r="AY7" s="86" t="s">
        <v>66</v>
      </c>
      <c r="AZ7" s="86" t="str">
        <f>REPLACE(INDEX(GroupVertices[Group],MATCH(Vertices[[#This Row],[Vertex]],GroupVertices[Vertex],0)),1,1,"")</f>
        <v>1</v>
      </c>
      <c r="BA7" s="51" t="s">
        <v>249</v>
      </c>
      <c r="BB7" s="51" t="s">
        <v>249</v>
      </c>
      <c r="BC7" s="51" t="s">
        <v>266</v>
      </c>
      <c r="BD7" s="51" t="s">
        <v>266</v>
      </c>
      <c r="BE7" s="51" t="s">
        <v>275</v>
      </c>
      <c r="BF7" s="51" t="s">
        <v>275</v>
      </c>
      <c r="BG7" s="123" t="s">
        <v>550</v>
      </c>
      <c r="BH7" s="123" t="s">
        <v>550</v>
      </c>
      <c r="BI7" s="123" t="s">
        <v>566</v>
      </c>
      <c r="BJ7" s="123" t="s">
        <v>566</v>
      </c>
      <c r="BK7" s="123">
        <v>0</v>
      </c>
      <c r="BL7" s="126">
        <v>0</v>
      </c>
      <c r="BM7" s="123">
        <v>0</v>
      </c>
      <c r="BN7" s="126">
        <v>0</v>
      </c>
      <c r="BO7" s="123">
        <v>0</v>
      </c>
      <c r="BP7" s="126">
        <v>0</v>
      </c>
      <c r="BQ7" s="123">
        <v>13</v>
      </c>
      <c r="BR7" s="126">
        <v>100</v>
      </c>
      <c r="BS7" s="123">
        <v>13</v>
      </c>
      <c r="BT7" s="2"/>
      <c r="BU7" s="3"/>
      <c r="BV7" s="3"/>
      <c r="BW7" s="3"/>
      <c r="BX7" s="3"/>
    </row>
    <row r="8" spans="1:76" ht="15">
      <c r="A8" s="14" t="s">
        <v>217</v>
      </c>
      <c r="B8" s="15"/>
      <c r="C8" s="15" t="s">
        <v>64</v>
      </c>
      <c r="D8" s="94">
        <v>1000</v>
      </c>
      <c r="E8" s="82"/>
      <c r="F8" s="113" t="s">
        <v>281</v>
      </c>
      <c r="G8" s="15"/>
      <c r="H8" s="16" t="s">
        <v>217</v>
      </c>
      <c r="I8" s="67"/>
      <c r="J8" s="67"/>
      <c r="K8" s="115" t="s">
        <v>417</v>
      </c>
      <c r="L8" s="95">
        <v>1</v>
      </c>
      <c r="M8" s="96">
        <v>4999.5</v>
      </c>
      <c r="N8" s="96">
        <v>1901.7708740234375</v>
      </c>
      <c r="O8" s="78"/>
      <c r="P8" s="97"/>
      <c r="Q8" s="97"/>
      <c r="R8" s="98"/>
      <c r="S8" s="51">
        <v>1</v>
      </c>
      <c r="T8" s="51">
        <v>1</v>
      </c>
      <c r="U8" s="52">
        <v>0</v>
      </c>
      <c r="V8" s="52">
        <v>0</v>
      </c>
      <c r="W8" s="52">
        <v>0.071429</v>
      </c>
      <c r="X8" s="52">
        <v>0.999961</v>
      </c>
      <c r="Y8" s="52">
        <v>0</v>
      </c>
      <c r="Z8" s="52" t="s">
        <v>477</v>
      </c>
      <c r="AA8" s="83">
        <v>8</v>
      </c>
      <c r="AB8" s="83"/>
      <c r="AC8" s="99"/>
      <c r="AD8" s="86" t="s">
        <v>357</v>
      </c>
      <c r="AE8" s="86">
        <v>13</v>
      </c>
      <c r="AF8" s="86">
        <v>747</v>
      </c>
      <c r="AG8" s="86">
        <v>486967</v>
      </c>
      <c r="AH8" s="86">
        <v>0</v>
      </c>
      <c r="AI8" s="86"/>
      <c r="AJ8" s="86"/>
      <c r="AK8" s="86"/>
      <c r="AL8" s="86"/>
      <c r="AM8" s="86"/>
      <c r="AN8" s="88">
        <v>42830.01782407407</v>
      </c>
      <c r="AO8" s="90" t="s">
        <v>388</v>
      </c>
      <c r="AP8" s="86" t="b">
        <v>1</v>
      </c>
      <c r="AQ8" s="86" t="b">
        <v>0</v>
      </c>
      <c r="AR8" s="86" t="b">
        <v>0</v>
      </c>
      <c r="AS8" s="86" t="s">
        <v>327</v>
      </c>
      <c r="AT8" s="86">
        <v>34</v>
      </c>
      <c r="AU8" s="86"/>
      <c r="AV8" s="86" t="b">
        <v>0</v>
      </c>
      <c r="AW8" s="86" t="s">
        <v>397</v>
      </c>
      <c r="AX8" s="90" t="s">
        <v>403</v>
      </c>
      <c r="AY8" s="86" t="s">
        <v>66</v>
      </c>
      <c r="AZ8" s="86" t="str">
        <f>REPLACE(INDEX(GroupVertices[Group],MATCH(Vertices[[#This Row],[Vertex]],GroupVertices[Vertex],0)),1,1,"")</f>
        <v>1</v>
      </c>
      <c r="BA8" s="51" t="s">
        <v>250</v>
      </c>
      <c r="BB8" s="51" t="s">
        <v>250</v>
      </c>
      <c r="BC8" s="51" t="s">
        <v>267</v>
      </c>
      <c r="BD8" s="51" t="s">
        <v>267</v>
      </c>
      <c r="BE8" s="51"/>
      <c r="BF8" s="51"/>
      <c r="BG8" s="123" t="s">
        <v>551</v>
      </c>
      <c r="BH8" s="123" t="s">
        <v>551</v>
      </c>
      <c r="BI8" s="123" t="s">
        <v>567</v>
      </c>
      <c r="BJ8" s="123" t="s">
        <v>567</v>
      </c>
      <c r="BK8" s="123">
        <v>0</v>
      </c>
      <c r="BL8" s="126">
        <v>0</v>
      </c>
      <c r="BM8" s="123">
        <v>0</v>
      </c>
      <c r="BN8" s="126">
        <v>0</v>
      </c>
      <c r="BO8" s="123">
        <v>0</v>
      </c>
      <c r="BP8" s="126">
        <v>0</v>
      </c>
      <c r="BQ8" s="123">
        <v>10</v>
      </c>
      <c r="BR8" s="126">
        <v>100</v>
      </c>
      <c r="BS8" s="123">
        <v>10</v>
      </c>
      <c r="BT8" s="2"/>
      <c r="BU8" s="3"/>
      <c r="BV8" s="3"/>
      <c r="BW8" s="3"/>
      <c r="BX8" s="3"/>
    </row>
    <row r="9" spans="1:76" ht="15">
      <c r="A9" s="14" t="s">
        <v>218</v>
      </c>
      <c r="B9" s="15"/>
      <c r="C9" s="15" t="s">
        <v>64</v>
      </c>
      <c r="D9" s="94">
        <v>162</v>
      </c>
      <c r="E9" s="82"/>
      <c r="F9" s="113" t="s">
        <v>282</v>
      </c>
      <c r="G9" s="15"/>
      <c r="H9" s="16" t="s">
        <v>218</v>
      </c>
      <c r="I9" s="67"/>
      <c r="J9" s="67"/>
      <c r="K9" s="115" t="s">
        <v>418</v>
      </c>
      <c r="L9" s="95">
        <v>1</v>
      </c>
      <c r="M9" s="96">
        <v>3077.6650390625</v>
      </c>
      <c r="N9" s="96">
        <v>1901.7708740234375</v>
      </c>
      <c r="O9" s="78"/>
      <c r="P9" s="97"/>
      <c r="Q9" s="97"/>
      <c r="R9" s="98"/>
      <c r="S9" s="51">
        <v>1</v>
      </c>
      <c r="T9" s="51">
        <v>1</v>
      </c>
      <c r="U9" s="52">
        <v>0</v>
      </c>
      <c r="V9" s="52">
        <v>0</v>
      </c>
      <c r="W9" s="52">
        <v>0.071429</v>
      </c>
      <c r="X9" s="52">
        <v>0.999961</v>
      </c>
      <c r="Y9" s="52">
        <v>0</v>
      </c>
      <c r="Z9" s="52" t="s">
        <v>477</v>
      </c>
      <c r="AA9" s="83">
        <v>9</v>
      </c>
      <c r="AB9" s="83"/>
      <c r="AC9" s="99"/>
      <c r="AD9" s="86" t="s">
        <v>358</v>
      </c>
      <c r="AE9" s="86">
        <v>13</v>
      </c>
      <c r="AF9" s="86">
        <v>88</v>
      </c>
      <c r="AG9" s="86">
        <v>111378</v>
      </c>
      <c r="AH9" s="86">
        <v>0</v>
      </c>
      <c r="AI9" s="86"/>
      <c r="AJ9" s="86" t="s">
        <v>371</v>
      </c>
      <c r="AK9" s="86" t="s">
        <v>376</v>
      </c>
      <c r="AL9" s="90" t="s">
        <v>380</v>
      </c>
      <c r="AM9" s="86"/>
      <c r="AN9" s="88">
        <v>43153.837164351855</v>
      </c>
      <c r="AO9" s="90" t="s">
        <v>389</v>
      </c>
      <c r="AP9" s="86" t="b">
        <v>0</v>
      </c>
      <c r="AQ9" s="86" t="b">
        <v>0</v>
      </c>
      <c r="AR9" s="86" t="b">
        <v>0</v>
      </c>
      <c r="AS9" s="86" t="s">
        <v>327</v>
      </c>
      <c r="AT9" s="86">
        <v>2</v>
      </c>
      <c r="AU9" s="90" t="s">
        <v>396</v>
      </c>
      <c r="AV9" s="86" t="b">
        <v>0</v>
      </c>
      <c r="AW9" s="86" t="s">
        <v>397</v>
      </c>
      <c r="AX9" s="90" t="s">
        <v>404</v>
      </c>
      <c r="AY9" s="86" t="s">
        <v>66</v>
      </c>
      <c r="AZ9" s="86" t="str">
        <f>REPLACE(INDEX(GroupVertices[Group],MATCH(Vertices[[#This Row],[Vertex]],GroupVertices[Vertex],0)),1,1,"")</f>
        <v>1</v>
      </c>
      <c r="BA9" s="51" t="s">
        <v>251</v>
      </c>
      <c r="BB9" s="51" t="s">
        <v>251</v>
      </c>
      <c r="BC9" s="51" t="s">
        <v>268</v>
      </c>
      <c r="BD9" s="51" t="s">
        <v>268</v>
      </c>
      <c r="BE9" s="51"/>
      <c r="BF9" s="51"/>
      <c r="BG9" s="123" t="s">
        <v>551</v>
      </c>
      <c r="BH9" s="123" t="s">
        <v>551</v>
      </c>
      <c r="BI9" s="123" t="s">
        <v>567</v>
      </c>
      <c r="BJ9" s="123" t="s">
        <v>567</v>
      </c>
      <c r="BK9" s="123">
        <v>0</v>
      </c>
      <c r="BL9" s="126">
        <v>0</v>
      </c>
      <c r="BM9" s="123">
        <v>0</v>
      </c>
      <c r="BN9" s="126">
        <v>0</v>
      </c>
      <c r="BO9" s="123">
        <v>0</v>
      </c>
      <c r="BP9" s="126">
        <v>0</v>
      </c>
      <c r="BQ9" s="123">
        <v>10</v>
      </c>
      <c r="BR9" s="126">
        <v>100</v>
      </c>
      <c r="BS9" s="123">
        <v>10</v>
      </c>
      <c r="BT9" s="2"/>
      <c r="BU9" s="3"/>
      <c r="BV9" s="3"/>
      <c r="BW9" s="3"/>
      <c r="BX9" s="3"/>
    </row>
    <row r="10" spans="1:76" ht="15">
      <c r="A10" s="14" t="s">
        <v>219</v>
      </c>
      <c r="B10" s="15"/>
      <c r="C10" s="15" t="s">
        <v>64</v>
      </c>
      <c r="D10" s="94">
        <v>372.28464419475654</v>
      </c>
      <c r="E10" s="82"/>
      <c r="F10" s="113" t="s">
        <v>283</v>
      </c>
      <c r="G10" s="15"/>
      <c r="H10" s="16" t="s">
        <v>219</v>
      </c>
      <c r="I10" s="67"/>
      <c r="J10" s="67"/>
      <c r="K10" s="115" t="s">
        <v>419</v>
      </c>
      <c r="L10" s="95">
        <v>1</v>
      </c>
      <c r="M10" s="96">
        <v>4999.5</v>
      </c>
      <c r="N10" s="96">
        <v>8097.2294921875</v>
      </c>
      <c r="O10" s="78"/>
      <c r="P10" s="97"/>
      <c r="Q10" s="97"/>
      <c r="R10" s="98"/>
      <c r="S10" s="51">
        <v>1</v>
      </c>
      <c r="T10" s="51">
        <v>1</v>
      </c>
      <c r="U10" s="52">
        <v>0</v>
      </c>
      <c r="V10" s="52">
        <v>0</v>
      </c>
      <c r="W10" s="52">
        <v>0.071429</v>
      </c>
      <c r="X10" s="52">
        <v>0.999961</v>
      </c>
      <c r="Y10" s="52">
        <v>0</v>
      </c>
      <c r="Z10" s="52" t="s">
        <v>477</v>
      </c>
      <c r="AA10" s="83">
        <v>10</v>
      </c>
      <c r="AB10" s="83"/>
      <c r="AC10" s="99"/>
      <c r="AD10" s="86" t="s">
        <v>359</v>
      </c>
      <c r="AE10" s="86">
        <v>9</v>
      </c>
      <c r="AF10" s="86">
        <v>347</v>
      </c>
      <c r="AG10" s="86">
        <v>316220</v>
      </c>
      <c r="AH10" s="86">
        <v>0</v>
      </c>
      <c r="AI10" s="86"/>
      <c r="AJ10" s="86"/>
      <c r="AK10" s="86"/>
      <c r="AL10" s="86"/>
      <c r="AM10" s="86"/>
      <c r="AN10" s="88">
        <v>42839.71501157407</v>
      </c>
      <c r="AO10" s="90" t="s">
        <v>390</v>
      </c>
      <c r="AP10" s="86" t="b">
        <v>1</v>
      </c>
      <c r="AQ10" s="86" t="b">
        <v>0</v>
      </c>
      <c r="AR10" s="86" t="b">
        <v>0</v>
      </c>
      <c r="AS10" s="86" t="s">
        <v>327</v>
      </c>
      <c r="AT10" s="86">
        <v>12</v>
      </c>
      <c r="AU10" s="86"/>
      <c r="AV10" s="86" t="b">
        <v>0</v>
      </c>
      <c r="AW10" s="86" t="s">
        <v>397</v>
      </c>
      <c r="AX10" s="90" t="s">
        <v>405</v>
      </c>
      <c r="AY10" s="86" t="s">
        <v>66</v>
      </c>
      <c r="AZ10" s="86" t="str">
        <f>REPLACE(INDEX(GroupVertices[Group],MATCH(Vertices[[#This Row],[Vertex]],GroupVertices[Vertex],0)),1,1,"")</f>
        <v>1</v>
      </c>
      <c r="BA10" s="51" t="s">
        <v>537</v>
      </c>
      <c r="BB10" s="51" t="s">
        <v>537</v>
      </c>
      <c r="BC10" s="51" t="s">
        <v>269</v>
      </c>
      <c r="BD10" s="51" t="s">
        <v>269</v>
      </c>
      <c r="BE10" s="51"/>
      <c r="BF10" s="51"/>
      <c r="BG10" s="123" t="s">
        <v>552</v>
      </c>
      <c r="BH10" s="123" t="s">
        <v>559</v>
      </c>
      <c r="BI10" s="123" t="s">
        <v>568</v>
      </c>
      <c r="BJ10" s="123" t="s">
        <v>575</v>
      </c>
      <c r="BK10" s="123">
        <v>1</v>
      </c>
      <c r="BL10" s="126">
        <v>4.545454545454546</v>
      </c>
      <c r="BM10" s="123">
        <v>0</v>
      </c>
      <c r="BN10" s="126">
        <v>0</v>
      </c>
      <c r="BO10" s="123">
        <v>0</v>
      </c>
      <c r="BP10" s="126">
        <v>0</v>
      </c>
      <c r="BQ10" s="123">
        <v>21</v>
      </c>
      <c r="BR10" s="126">
        <v>95.45454545454545</v>
      </c>
      <c r="BS10" s="123">
        <v>22</v>
      </c>
      <c r="BT10" s="2"/>
      <c r="BU10" s="3"/>
      <c r="BV10" s="3"/>
      <c r="BW10" s="3"/>
      <c r="BX10" s="3"/>
    </row>
    <row r="11" spans="1:76" ht="15">
      <c r="A11" s="14" t="s">
        <v>220</v>
      </c>
      <c r="B11" s="15"/>
      <c r="C11" s="15" t="s">
        <v>64</v>
      </c>
      <c r="D11" s="94">
        <v>1000</v>
      </c>
      <c r="E11" s="82"/>
      <c r="F11" s="113" t="s">
        <v>284</v>
      </c>
      <c r="G11" s="15"/>
      <c r="H11" s="16" t="s">
        <v>220</v>
      </c>
      <c r="I11" s="67"/>
      <c r="J11" s="67"/>
      <c r="K11" s="115" t="s">
        <v>420</v>
      </c>
      <c r="L11" s="95">
        <v>1</v>
      </c>
      <c r="M11" s="96">
        <v>3077.6650390625</v>
      </c>
      <c r="N11" s="96">
        <v>8097.2294921875</v>
      </c>
      <c r="O11" s="78"/>
      <c r="P11" s="97"/>
      <c r="Q11" s="97"/>
      <c r="R11" s="98"/>
      <c r="S11" s="51">
        <v>1</v>
      </c>
      <c r="T11" s="51">
        <v>1</v>
      </c>
      <c r="U11" s="52">
        <v>0</v>
      </c>
      <c r="V11" s="52">
        <v>0</v>
      </c>
      <c r="W11" s="52">
        <v>0.071429</v>
      </c>
      <c r="X11" s="52">
        <v>0.999961</v>
      </c>
      <c r="Y11" s="52">
        <v>0</v>
      </c>
      <c r="Z11" s="52" t="s">
        <v>477</v>
      </c>
      <c r="AA11" s="83">
        <v>11</v>
      </c>
      <c r="AB11" s="83"/>
      <c r="AC11" s="99"/>
      <c r="AD11" s="86" t="s">
        <v>360</v>
      </c>
      <c r="AE11" s="86">
        <v>40</v>
      </c>
      <c r="AF11" s="86">
        <v>1358</v>
      </c>
      <c r="AG11" s="86">
        <v>848964</v>
      </c>
      <c r="AH11" s="86">
        <v>0</v>
      </c>
      <c r="AI11" s="86"/>
      <c r="AJ11" s="86"/>
      <c r="AK11" s="86"/>
      <c r="AL11" s="86"/>
      <c r="AM11" s="86"/>
      <c r="AN11" s="88">
        <v>41986.86682870371</v>
      </c>
      <c r="AO11" s="86"/>
      <c r="AP11" s="86" t="b">
        <v>1</v>
      </c>
      <c r="AQ11" s="86" t="b">
        <v>0</v>
      </c>
      <c r="AR11" s="86" t="b">
        <v>0</v>
      </c>
      <c r="AS11" s="86" t="s">
        <v>327</v>
      </c>
      <c r="AT11" s="86">
        <v>64</v>
      </c>
      <c r="AU11" s="90" t="s">
        <v>396</v>
      </c>
      <c r="AV11" s="86" t="b">
        <v>0</v>
      </c>
      <c r="AW11" s="86" t="s">
        <v>397</v>
      </c>
      <c r="AX11" s="90" t="s">
        <v>406</v>
      </c>
      <c r="AY11" s="86" t="s">
        <v>66</v>
      </c>
      <c r="AZ11" s="86" t="str">
        <f>REPLACE(INDEX(GroupVertices[Group],MATCH(Vertices[[#This Row],[Vertex]],GroupVertices[Vertex],0)),1,1,"")</f>
        <v>1</v>
      </c>
      <c r="BA11" s="51" t="s">
        <v>254</v>
      </c>
      <c r="BB11" s="51" t="s">
        <v>254</v>
      </c>
      <c r="BC11" s="51" t="s">
        <v>270</v>
      </c>
      <c r="BD11" s="51" t="s">
        <v>270</v>
      </c>
      <c r="BE11" s="51"/>
      <c r="BF11" s="51"/>
      <c r="BG11" s="123" t="s">
        <v>553</v>
      </c>
      <c r="BH11" s="123" t="s">
        <v>553</v>
      </c>
      <c r="BI11" s="123" t="s">
        <v>569</v>
      </c>
      <c r="BJ11" s="123" t="s">
        <v>569</v>
      </c>
      <c r="BK11" s="123">
        <v>0</v>
      </c>
      <c r="BL11" s="126">
        <v>0</v>
      </c>
      <c r="BM11" s="123">
        <v>0</v>
      </c>
      <c r="BN11" s="126">
        <v>0</v>
      </c>
      <c r="BO11" s="123">
        <v>0</v>
      </c>
      <c r="BP11" s="126">
        <v>0</v>
      </c>
      <c r="BQ11" s="123">
        <v>9</v>
      </c>
      <c r="BR11" s="126">
        <v>100</v>
      </c>
      <c r="BS11" s="123">
        <v>9</v>
      </c>
      <c r="BT11" s="2"/>
      <c r="BU11" s="3"/>
      <c r="BV11" s="3"/>
      <c r="BW11" s="3"/>
      <c r="BX11" s="3"/>
    </row>
    <row r="12" spans="1:76" ht="15">
      <c r="A12" s="14" t="s">
        <v>221</v>
      </c>
      <c r="B12" s="15"/>
      <c r="C12" s="15" t="s">
        <v>64</v>
      </c>
      <c r="D12" s="94">
        <v>777.1610486891386</v>
      </c>
      <c r="E12" s="82"/>
      <c r="F12" s="113" t="s">
        <v>285</v>
      </c>
      <c r="G12" s="15"/>
      <c r="H12" s="16" t="s">
        <v>221</v>
      </c>
      <c r="I12" s="67"/>
      <c r="J12" s="67"/>
      <c r="K12" s="115" t="s">
        <v>421</v>
      </c>
      <c r="L12" s="95">
        <v>1</v>
      </c>
      <c r="M12" s="96">
        <v>1155.8297119140625</v>
      </c>
      <c r="N12" s="96">
        <v>8097.2294921875</v>
      </c>
      <c r="O12" s="78"/>
      <c r="P12" s="97"/>
      <c r="Q12" s="97"/>
      <c r="R12" s="98"/>
      <c r="S12" s="51">
        <v>1</v>
      </c>
      <c r="T12" s="51">
        <v>1</v>
      </c>
      <c r="U12" s="52">
        <v>0</v>
      </c>
      <c r="V12" s="52">
        <v>0</v>
      </c>
      <c r="W12" s="52">
        <v>0.071429</v>
      </c>
      <c r="X12" s="52">
        <v>0.999961</v>
      </c>
      <c r="Y12" s="52">
        <v>0</v>
      </c>
      <c r="Z12" s="52" t="s">
        <v>477</v>
      </c>
      <c r="AA12" s="83">
        <v>12</v>
      </c>
      <c r="AB12" s="83"/>
      <c r="AC12" s="99"/>
      <c r="AD12" s="86" t="s">
        <v>361</v>
      </c>
      <c r="AE12" s="86">
        <v>10</v>
      </c>
      <c r="AF12" s="86">
        <v>605</v>
      </c>
      <c r="AG12" s="86">
        <v>551660</v>
      </c>
      <c r="AH12" s="86">
        <v>0</v>
      </c>
      <c r="AI12" s="86"/>
      <c r="AJ12" s="86"/>
      <c r="AK12" s="86"/>
      <c r="AL12" s="86"/>
      <c r="AM12" s="86"/>
      <c r="AN12" s="88">
        <v>42933.86956018519</v>
      </c>
      <c r="AO12" s="90" t="s">
        <v>391</v>
      </c>
      <c r="AP12" s="86" t="b">
        <v>1</v>
      </c>
      <c r="AQ12" s="86" t="b">
        <v>0</v>
      </c>
      <c r="AR12" s="86" t="b">
        <v>0</v>
      </c>
      <c r="AS12" s="86" t="s">
        <v>327</v>
      </c>
      <c r="AT12" s="86">
        <v>16</v>
      </c>
      <c r="AU12" s="86"/>
      <c r="AV12" s="86" t="b">
        <v>0</v>
      </c>
      <c r="AW12" s="86" t="s">
        <v>397</v>
      </c>
      <c r="AX12" s="90" t="s">
        <v>407</v>
      </c>
      <c r="AY12" s="86" t="s">
        <v>66</v>
      </c>
      <c r="AZ12" s="86" t="str">
        <f>REPLACE(INDEX(GroupVertices[Group],MATCH(Vertices[[#This Row],[Vertex]],GroupVertices[Vertex],0)),1,1,"")</f>
        <v>1</v>
      </c>
      <c r="BA12" s="51" t="s">
        <v>538</v>
      </c>
      <c r="BB12" s="51" t="s">
        <v>538</v>
      </c>
      <c r="BC12" s="51" t="s">
        <v>271</v>
      </c>
      <c r="BD12" s="51" t="s">
        <v>271</v>
      </c>
      <c r="BE12" s="51"/>
      <c r="BF12" s="51"/>
      <c r="BG12" s="123" t="s">
        <v>554</v>
      </c>
      <c r="BH12" s="123" t="s">
        <v>560</v>
      </c>
      <c r="BI12" s="123" t="s">
        <v>570</v>
      </c>
      <c r="BJ12" s="123" t="s">
        <v>576</v>
      </c>
      <c r="BK12" s="123">
        <v>2</v>
      </c>
      <c r="BL12" s="126">
        <v>8.695652173913043</v>
      </c>
      <c r="BM12" s="123">
        <v>0</v>
      </c>
      <c r="BN12" s="126">
        <v>0</v>
      </c>
      <c r="BO12" s="123">
        <v>0</v>
      </c>
      <c r="BP12" s="126">
        <v>0</v>
      </c>
      <c r="BQ12" s="123">
        <v>21</v>
      </c>
      <c r="BR12" s="126">
        <v>91.30434782608695</v>
      </c>
      <c r="BS12" s="123">
        <v>23</v>
      </c>
      <c r="BT12" s="2"/>
      <c r="BU12" s="3"/>
      <c r="BV12" s="3"/>
      <c r="BW12" s="3"/>
      <c r="BX12" s="3"/>
    </row>
    <row r="13" spans="1:76" ht="15">
      <c r="A13" s="14" t="s">
        <v>222</v>
      </c>
      <c r="B13" s="15"/>
      <c r="C13" s="15" t="s">
        <v>64</v>
      </c>
      <c r="D13" s="94">
        <v>358.16104868913857</v>
      </c>
      <c r="E13" s="82"/>
      <c r="F13" s="113" t="s">
        <v>286</v>
      </c>
      <c r="G13" s="15"/>
      <c r="H13" s="16" t="s">
        <v>222</v>
      </c>
      <c r="I13" s="67"/>
      <c r="J13" s="67"/>
      <c r="K13" s="115" t="s">
        <v>422</v>
      </c>
      <c r="L13" s="95">
        <v>1</v>
      </c>
      <c r="M13" s="96">
        <v>6921.33544921875</v>
      </c>
      <c r="N13" s="96">
        <v>8097.2294921875</v>
      </c>
      <c r="O13" s="78"/>
      <c r="P13" s="97"/>
      <c r="Q13" s="97"/>
      <c r="R13" s="98"/>
      <c r="S13" s="51">
        <v>1</v>
      </c>
      <c r="T13" s="51">
        <v>1</v>
      </c>
      <c r="U13" s="52">
        <v>0</v>
      </c>
      <c r="V13" s="52">
        <v>0</v>
      </c>
      <c r="W13" s="52">
        <v>0.071429</v>
      </c>
      <c r="X13" s="52">
        <v>0.999961</v>
      </c>
      <c r="Y13" s="52">
        <v>0</v>
      </c>
      <c r="Z13" s="52" t="s">
        <v>477</v>
      </c>
      <c r="AA13" s="83">
        <v>13</v>
      </c>
      <c r="AB13" s="83"/>
      <c r="AC13" s="99"/>
      <c r="AD13" s="86" t="s">
        <v>362</v>
      </c>
      <c r="AE13" s="86">
        <v>4</v>
      </c>
      <c r="AF13" s="86">
        <v>338</v>
      </c>
      <c r="AG13" s="86">
        <v>376851</v>
      </c>
      <c r="AH13" s="86">
        <v>0</v>
      </c>
      <c r="AI13" s="86"/>
      <c r="AJ13" s="86" t="s">
        <v>372</v>
      </c>
      <c r="AK13" s="86" t="s">
        <v>376</v>
      </c>
      <c r="AL13" s="90" t="s">
        <v>381</v>
      </c>
      <c r="AM13" s="86"/>
      <c r="AN13" s="88">
        <v>43151.74077546296</v>
      </c>
      <c r="AO13" s="90" t="s">
        <v>392</v>
      </c>
      <c r="AP13" s="86" t="b">
        <v>0</v>
      </c>
      <c r="AQ13" s="86" t="b">
        <v>0</v>
      </c>
      <c r="AR13" s="86" t="b">
        <v>0</v>
      </c>
      <c r="AS13" s="86" t="s">
        <v>327</v>
      </c>
      <c r="AT13" s="86">
        <v>5</v>
      </c>
      <c r="AU13" s="90" t="s">
        <v>396</v>
      </c>
      <c r="AV13" s="86" t="b">
        <v>0</v>
      </c>
      <c r="AW13" s="86" t="s">
        <v>397</v>
      </c>
      <c r="AX13" s="90" t="s">
        <v>408</v>
      </c>
      <c r="AY13" s="86" t="s">
        <v>66</v>
      </c>
      <c r="AZ13" s="86" t="str">
        <f>REPLACE(INDEX(GroupVertices[Group],MATCH(Vertices[[#This Row],[Vertex]],GroupVertices[Vertex],0)),1,1,"")</f>
        <v>1</v>
      </c>
      <c r="BA13" s="51" t="s">
        <v>257</v>
      </c>
      <c r="BB13" s="51" t="s">
        <v>257</v>
      </c>
      <c r="BC13" s="51" t="s">
        <v>272</v>
      </c>
      <c r="BD13" s="51" t="s">
        <v>272</v>
      </c>
      <c r="BE13" s="51"/>
      <c r="BF13" s="51"/>
      <c r="BG13" s="123" t="s">
        <v>555</v>
      </c>
      <c r="BH13" s="123" t="s">
        <v>555</v>
      </c>
      <c r="BI13" s="123" t="s">
        <v>571</v>
      </c>
      <c r="BJ13" s="123" t="s">
        <v>571</v>
      </c>
      <c r="BK13" s="123">
        <v>0</v>
      </c>
      <c r="BL13" s="126">
        <v>0</v>
      </c>
      <c r="BM13" s="123">
        <v>0</v>
      </c>
      <c r="BN13" s="126">
        <v>0</v>
      </c>
      <c r="BO13" s="123">
        <v>0</v>
      </c>
      <c r="BP13" s="126">
        <v>0</v>
      </c>
      <c r="BQ13" s="123">
        <v>9</v>
      </c>
      <c r="BR13" s="126">
        <v>100</v>
      </c>
      <c r="BS13" s="123">
        <v>9</v>
      </c>
      <c r="BT13" s="2"/>
      <c r="BU13" s="3"/>
      <c r="BV13" s="3"/>
      <c r="BW13" s="3"/>
      <c r="BX13" s="3"/>
    </row>
    <row r="14" spans="1:76" ht="15">
      <c r="A14" s="14" t="s">
        <v>223</v>
      </c>
      <c r="B14" s="15"/>
      <c r="C14" s="15" t="s">
        <v>64</v>
      </c>
      <c r="D14" s="94">
        <v>304.8052434456929</v>
      </c>
      <c r="E14" s="82"/>
      <c r="F14" s="113" t="s">
        <v>287</v>
      </c>
      <c r="G14" s="15"/>
      <c r="H14" s="16" t="s">
        <v>223</v>
      </c>
      <c r="I14" s="67"/>
      <c r="J14" s="67"/>
      <c r="K14" s="115" t="s">
        <v>423</v>
      </c>
      <c r="L14" s="95">
        <v>1</v>
      </c>
      <c r="M14" s="96">
        <v>3077.6650390625</v>
      </c>
      <c r="N14" s="96">
        <v>4999.5</v>
      </c>
      <c r="O14" s="78"/>
      <c r="P14" s="97"/>
      <c r="Q14" s="97"/>
      <c r="R14" s="98"/>
      <c r="S14" s="51">
        <v>1</v>
      </c>
      <c r="T14" s="51">
        <v>1</v>
      </c>
      <c r="U14" s="52">
        <v>0</v>
      </c>
      <c r="V14" s="52">
        <v>0</v>
      </c>
      <c r="W14" s="52">
        <v>0.071429</v>
      </c>
      <c r="X14" s="52">
        <v>0.999961</v>
      </c>
      <c r="Y14" s="52">
        <v>0</v>
      </c>
      <c r="Z14" s="52" t="s">
        <v>477</v>
      </c>
      <c r="AA14" s="83">
        <v>14</v>
      </c>
      <c r="AB14" s="83"/>
      <c r="AC14" s="99"/>
      <c r="AD14" s="86" t="s">
        <v>363</v>
      </c>
      <c r="AE14" s="86">
        <v>39</v>
      </c>
      <c r="AF14" s="86">
        <v>304</v>
      </c>
      <c r="AG14" s="86">
        <v>344073</v>
      </c>
      <c r="AH14" s="86">
        <v>0</v>
      </c>
      <c r="AI14" s="86"/>
      <c r="AJ14" s="86"/>
      <c r="AK14" s="86" t="s">
        <v>376</v>
      </c>
      <c r="AL14" s="90" t="s">
        <v>382</v>
      </c>
      <c r="AM14" s="86"/>
      <c r="AN14" s="88">
        <v>43105.85424768519</v>
      </c>
      <c r="AO14" s="90" t="s">
        <v>393</v>
      </c>
      <c r="AP14" s="86" t="b">
        <v>1</v>
      </c>
      <c r="AQ14" s="86" t="b">
        <v>0</v>
      </c>
      <c r="AR14" s="86" t="b">
        <v>0</v>
      </c>
      <c r="AS14" s="86" t="s">
        <v>327</v>
      </c>
      <c r="AT14" s="86">
        <v>5</v>
      </c>
      <c r="AU14" s="86"/>
      <c r="AV14" s="86" t="b">
        <v>0</v>
      </c>
      <c r="AW14" s="86" t="s">
        <v>397</v>
      </c>
      <c r="AX14" s="90" t="s">
        <v>409</v>
      </c>
      <c r="AY14" s="86" t="s">
        <v>66</v>
      </c>
      <c r="AZ14" s="86" t="str">
        <f>REPLACE(INDEX(GroupVertices[Group],MATCH(Vertices[[#This Row],[Vertex]],GroupVertices[Vertex],0)),1,1,"")</f>
        <v>1</v>
      </c>
      <c r="BA14" s="51" t="s">
        <v>258</v>
      </c>
      <c r="BB14" s="51" t="s">
        <v>258</v>
      </c>
      <c r="BC14" s="51" t="s">
        <v>272</v>
      </c>
      <c r="BD14" s="51" t="s">
        <v>272</v>
      </c>
      <c r="BE14" s="51"/>
      <c r="BF14" s="51"/>
      <c r="BG14" s="123" t="s">
        <v>555</v>
      </c>
      <c r="BH14" s="123" t="s">
        <v>555</v>
      </c>
      <c r="BI14" s="123" t="s">
        <v>571</v>
      </c>
      <c r="BJ14" s="123" t="s">
        <v>571</v>
      </c>
      <c r="BK14" s="123">
        <v>0</v>
      </c>
      <c r="BL14" s="126">
        <v>0</v>
      </c>
      <c r="BM14" s="123">
        <v>0</v>
      </c>
      <c r="BN14" s="126">
        <v>0</v>
      </c>
      <c r="BO14" s="123">
        <v>0</v>
      </c>
      <c r="BP14" s="126">
        <v>0</v>
      </c>
      <c r="BQ14" s="123">
        <v>9</v>
      </c>
      <c r="BR14" s="126">
        <v>100</v>
      </c>
      <c r="BS14" s="123">
        <v>9</v>
      </c>
      <c r="BT14" s="2"/>
      <c r="BU14" s="3"/>
      <c r="BV14" s="3"/>
      <c r="BW14" s="3"/>
      <c r="BX14" s="3"/>
    </row>
    <row r="15" spans="1:76" ht="15">
      <c r="A15" s="14" t="s">
        <v>224</v>
      </c>
      <c r="B15" s="15"/>
      <c r="C15" s="15" t="s">
        <v>64</v>
      </c>
      <c r="D15" s="94">
        <v>333.05243445692884</v>
      </c>
      <c r="E15" s="82"/>
      <c r="F15" s="113" t="s">
        <v>288</v>
      </c>
      <c r="G15" s="15"/>
      <c r="H15" s="16" t="s">
        <v>224</v>
      </c>
      <c r="I15" s="67"/>
      <c r="J15" s="67"/>
      <c r="K15" s="115" t="s">
        <v>424</v>
      </c>
      <c r="L15" s="95">
        <v>1</v>
      </c>
      <c r="M15" s="96">
        <v>1155.8297119140625</v>
      </c>
      <c r="N15" s="96">
        <v>4999.5</v>
      </c>
      <c r="O15" s="78"/>
      <c r="P15" s="97"/>
      <c r="Q15" s="97"/>
      <c r="R15" s="98"/>
      <c r="S15" s="51">
        <v>1</v>
      </c>
      <c r="T15" s="51">
        <v>1</v>
      </c>
      <c r="U15" s="52">
        <v>0</v>
      </c>
      <c r="V15" s="52">
        <v>0</v>
      </c>
      <c r="W15" s="52">
        <v>0.071429</v>
      </c>
      <c r="X15" s="52">
        <v>0.999961</v>
      </c>
      <c r="Y15" s="52">
        <v>0</v>
      </c>
      <c r="Z15" s="52" t="s">
        <v>477</v>
      </c>
      <c r="AA15" s="83">
        <v>15</v>
      </c>
      <c r="AB15" s="83"/>
      <c r="AC15" s="99"/>
      <c r="AD15" s="86" t="s">
        <v>364</v>
      </c>
      <c r="AE15" s="86">
        <v>17</v>
      </c>
      <c r="AF15" s="86">
        <v>322</v>
      </c>
      <c r="AG15" s="86">
        <v>407135</v>
      </c>
      <c r="AH15" s="86">
        <v>0</v>
      </c>
      <c r="AI15" s="86"/>
      <c r="AJ15" s="86" t="s">
        <v>373</v>
      </c>
      <c r="AK15" s="86" t="s">
        <v>377</v>
      </c>
      <c r="AL15" s="90" t="s">
        <v>383</v>
      </c>
      <c r="AM15" s="86"/>
      <c r="AN15" s="88">
        <v>42972.89403935185</v>
      </c>
      <c r="AO15" s="90" t="s">
        <v>394</v>
      </c>
      <c r="AP15" s="86" t="b">
        <v>0</v>
      </c>
      <c r="AQ15" s="86" t="b">
        <v>0</v>
      </c>
      <c r="AR15" s="86" t="b">
        <v>0</v>
      </c>
      <c r="AS15" s="86" t="s">
        <v>327</v>
      </c>
      <c r="AT15" s="86">
        <v>12</v>
      </c>
      <c r="AU15" s="90" t="s">
        <v>396</v>
      </c>
      <c r="AV15" s="86" t="b">
        <v>0</v>
      </c>
      <c r="AW15" s="86" t="s">
        <v>397</v>
      </c>
      <c r="AX15" s="90" t="s">
        <v>410</v>
      </c>
      <c r="AY15" s="86" t="s">
        <v>66</v>
      </c>
      <c r="AZ15" s="86" t="str">
        <f>REPLACE(INDEX(GroupVertices[Group],MATCH(Vertices[[#This Row],[Vertex]],GroupVertices[Vertex],0)),1,1,"")</f>
        <v>1</v>
      </c>
      <c r="BA15" s="51" t="s">
        <v>539</v>
      </c>
      <c r="BB15" s="51" t="s">
        <v>539</v>
      </c>
      <c r="BC15" s="51" t="s">
        <v>273</v>
      </c>
      <c r="BD15" s="51" t="s">
        <v>273</v>
      </c>
      <c r="BE15" s="51"/>
      <c r="BF15" s="51"/>
      <c r="BG15" s="123" t="s">
        <v>556</v>
      </c>
      <c r="BH15" s="123" t="s">
        <v>561</v>
      </c>
      <c r="BI15" s="123" t="s">
        <v>572</v>
      </c>
      <c r="BJ15" s="123" t="s">
        <v>577</v>
      </c>
      <c r="BK15" s="123">
        <v>0</v>
      </c>
      <c r="BL15" s="126">
        <v>0</v>
      </c>
      <c r="BM15" s="123">
        <v>0</v>
      </c>
      <c r="BN15" s="126">
        <v>0</v>
      </c>
      <c r="BO15" s="123">
        <v>0</v>
      </c>
      <c r="BP15" s="126">
        <v>0</v>
      </c>
      <c r="BQ15" s="123">
        <v>18</v>
      </c>
      <c r="BR15" s="126">
        <v>100</v>
      </c>
      <c r="BS15" s="123">
        <v>18</v>
      </c>
      <c r="BT15" s="2"/>
      <c r="BU15" s="3"/>
      <c r="BV15" s="3"/>
      <c r="BW15" s="3"/>
      <c r="BX15" s="3"/>
    </row>
    <row r="16" spans="1:76" ht="15">
      <c r="A16" s="100" t="s">
        <v>225</v>
      </c>
      <c r="B16" s="101"/>
      <c r="C16" s="101" t="s">
        <v>64</v>
      </c>
      <c r="D16" s="102">
        <v>162</v>
      </c>
      <c r="E16" s="103"/>
      <c r="F16" s="114" t="s">
        <v>289</v>
      </c>
      <c r="G16" s="101"/>
      <c r="H16" s="104" t="s">
        <v>225</v>
      </c>
      <c r="I16" s="105"/>
      <c r="J16" s="105"/>
      <c r="K16" s="116" t="s">
        <v>425</v>
      </c>
      <c r="L16" s="106">
        <v>1</v>
      </c>
      <c r="M16" s="107">
        <v>8843.169921875</v>
      </c>
      <c r="N16" s="107">
        <v>8097.2294921875</v>
      </c>
      <c r="O16" s="108"/>
      <c r="P16" s="109"/>
      <c r="Q16" s="109"/>
      <c r="R16" s="110"/>
      <c r="S16" s="51">
        <v>1</v>
      </c>
      <c r="T16" s="51">
        <v>1</v>
      </c>
      <c r="U16" s="52">
        <v>0</v>
      </c>
      <c r="V16" s="52">
        <v>0</v>
      </c>
      <c r="W16" s="52">
        <v>0.071429</v>
      </c>
      <c r="X16" s="52">
        <v>0.999961</v>
      </c>
      <c r="Y16" s="52">
        <v>0</v>
      </c>
      <c r="Z16" s="52" t="s">
        <v>477</v>
      </c>
      <c r="AA16" s="111">
        <v>16</v>
      </c>
      <c r="AB16" s="111"/>
      <c r="AC16" s="112"/>
      <c r="AD16" s="86" t="s">
        <v>365</v>
      </c>
      <c r="AE16" s="86">
        <v>19</v>
      </c>
      <c r="AF16" s="86">
        <v>90</v>
      </c>
      <c r="AG16" s="86">
        <v>163131</v>
      </c>
      <c r="AH16" s="86">
        <v>0</v>
      </c>
      <c r="AI16" s="86"/>
      <c r="AJ16" s="86" t="s">
        <v>374</v>
      </c>
      <c r="AK16" s="86" t="s">
        <v>376</v>
      </c>
      <c r="AL16" s="90" t="s">
        <v>384</v>
      </c>
      <c r="AM16" s="86"/>
      <c r="AN16" s="88">
        <v>43108.80224537037</v>
      </c>
      <c r="AO16" s="90" t="s">
        <v>395</v>
      </c>
      <c r="AP16" s="86" t="b">
        <v>0</v>
      </c>
      <c r="AQ16" s="86" t="b">
        <v>0</v>
      </c>
      <c r="AR16" s="86" t="b">
        <v>0</v>
      </c>
      <c r="AS16" s="86" t="s">
        <v>327</v>
      </c>
      <c r="AT16" s="86">
        <v>5</v>
      </c>
      <c r="AU16" s="90" t="s">
        <v>396</v>
      </c>
      <c r="AV16" s="86" t="b">
        <v>0</v>
      </c>
      <c r="AW16" s="86" t="s">
        <v>397</v>
      </c>
      <c r="AX16" s="90" t="s">
        <v>411</v>
      </c>
      <c r="AY16" s="86" t="s">
        <v>66</v>
      </c>
      <c r="AZ16" s="86" t="str">
        <f>REPLACE(INDEX(GroupVertices[Group],MATCH(Vertices[[#This Row],[Vertex]],GroupVertices[Vertex],0)),1,1,"")</f>
        <v>1</v>
      </c>
      <c r="BA16" s="51" t="s">
        <v>261</v>
      </c>
      <c r="BB16" s="51" t="s">
        <v>261</v>
      </c>
      <c r="BC16" s="51" t="s">
        <v>274</v>
      </c>
      <c r="BD16" s="51" t="s">
        <v>274</v>
      </c>
      <c r="BE16" s="51"/>
      <c r="BF16" s="51"/>
      <c r="BG16" s="123" t="s">
        <v>557</v>
      </c>
      <c r="BH16" s="123" t="s">
        <v>557</v>
      </c>
      <c r="BI16" s="123" t="s">
        <v>573</v>
      </c>
      <c r="BJ16" s="123" t="s">
        <v>573</v>
      </c>
      <c r="BK16" s="123">
        <v>0</v>
      </c>
      <c r="BL16" s="126">
        <v>0</v>
      </c>
      <c r="BM16" s="123">
        <v>0</v>
      </c>
      <c r="BN16" s="126">
        <v>0</v>
      </c>
      <c r="BO16" s="123">
        <v>0</v>
      </c>
      <c r="BP16" s="126">
        <v>0</v>
      </c>
      <c r="BQ16" s="123">
        <v>11</v>
      </c>
      <c r="BR16" s="126">
        <v>100</v>
      </c>
      <c r="BS16" s="123">
        <v>11</v>
      </c>
      <c r="BT16" s="2"/>
      <c r="BU16" s="3"/>
      <c r="BV16" s="3"/>
      <c r="BW16" s="3"/>
      <c r="BX1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6"/>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6"/>
    <dataValidation allowBlank="1" showInputMessage="1" promptTitle="Vertex Tooltip" prompt="Enter optional text that will pop up when the mouse is hovered over the vertex." errorTitle="Invalid Vertex Image Key" sqref="K3:K1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6"/>
    <dataValidation allowBlank="1" showInputMessage="1" promptTitle="Vertex Label Fill Color" prompt="To select an optional fill color for the Label shape, right-click and select Select Color on the right-click menu." sqref="I3:I16"/>
    <dataValidation allowBlank="1" showInputMessage="1" promptTitle="Vertex Image File" prompt="Enter the path to an image file.  Hover over the column header for examples." errorTitle="Invalid Vertex Image Key" sqref="F3:F16"/>
    <dataValidation allowBlank="1" showInputMessage="1" promptTitle="Vertex Color" prompt="To select an optional vertex color, right-click and select Select Color on the right-click menu." sqref="B3:B16"/>
    <dataValidation allowBlank="1" showInputMessage="1" promptTitle="Vertex Opacity" prompt="Enter an optional vertex opacity between 0 (transparent) and 100 (opaque)." errorTitle="Invalid Vertex Opacity" error="The optional vertex opacity must be a whole number between 0 and 10." sqref="E3:E16"/>
    <dataValidation type="list" allowBlank="1" showInputMessage="1" showErrorMessage="1" promptTitle="Vertex Shape" prompt="Select an optional vertex shape." errorTitle="Invalid Vertex Shape" error="You have entered an invalid vertex shape.  Try selecting from the drop-down list instead." sqref="C3:C1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6">
      <formula1>ValidVertexLabelPositions</formula1>
    </dataValidation>
    <dataValidation allowBlank="1" showInputMessage="1" showErrorMessage="1" promptTitle="Vertex Name" prompt="Enter the name of the vertex." sqref="A3:A16"/>
  </dataValidations>
  <hyperlinks>
    <hyperlink ref="AL5" r:id="rId1" display="https://weekherald.com/"/>
    <hyperlink ref="AL7" r:id="rId2" display="https://t.co/0eNDSZanco"/>
    <hyperlink ref="AL9" r:id="rId3" display="https://t.co/HykOPvGm9F"/>
    <hyperlink ref="AL13" r:id="rId4" display="https://t.co/cwcnF1c1TK"/>
    <hyperlink ref="AL14" r:id="rId5" display="https://t.co/58WdUxUP2J"/>
    <hyperlink ref="AL15" r:id="rId6" display="https://t.co/er69YCEGww"/>
    <hyperlink ref="AL16" r:id="rId7" display="https://t.co/G8Jdcwonba"/>
    <hyperlink ref="AO4" r:id="rId8" display="https://pbs.twimg.com/profile_banners/985935722/1526206777"/>
    <hyperlink ref="AO5" r:id="rId9" display="https://pbs.twimg.com/profile_banners/888125801903775744/1500582045"/>
    <hyperlink ref="AO7" r:id="rId10" display="https://pbs.twimg.com/profile_banners/828747327208841216/1486485612"/>
    <hyperlink ref="AO8" r:id="rId11" display="https://pbs.twimg.com/profile_banners/849417718642159616/1491354964"/>
    <hyperlink ref="AO9" r:id="rId12" display="https://pbs.twimg.com/profile_banners/966765919191142401/1519330134"/>
    <hyperlink ref="AO10" r:id="rId13" display="https://pbs.twimg.com/profile_banners/852931863547084801/1492190555"/>
    <hyperlink ref="AO12" r:id="rId14" display="https://pbs.twimg.com/profile_banners/887052326472740866/1500327595"/>
    <hyperlink ref="AO13" r:id="rId15" display="https://pbs.twimg.com/profile_banners/966006214818697218/1519149054"/>
    <hyperlink ref="AO14" r:id="rId16" display="https://pbs.twimg.com/profile_banners/949377493915590662/1515190881"/>
    <hyperlink ref="AO15" r:id="rId17" display="https://pbs.twimg.com/profile_banners/901194327925325825/1503698104"/>
    <hyperlink ref="AO16" r:id="rId18" display="https://pbs.twimg.com/profile_banners/950445812282265610/1515440070"/>
    <hyperlink ref="AU3" r:id="rId19" display="http://abs.twimg.com/images/themes/theme1/bg.png"/>
    <hyperlink ref="AU4" r:id="rId20" display="http://abs.twimg.com/images/themes/theme1/bg.png"/>
    <hyperlink ref="AU6" r:id="rId21" display="http://abs.twimg.com/images/themes/theme1/bg.png"/>
    <hyperlink ref="AU7" r:id="rId22" display="http://abs.twimg.com/images/themes/theme1/bg.png"/>
    <hyperlink ref="AU9" r:id="rId23" display="http://abs.twimg.com/images/themes/theme1/bg.png"/>
    <hyperlink ref="AU11" r:id="rId24" display="http://abs.twimg.com/images/themes/theme1/bg.png"/>
    <hyperlink ref="AU13" r:id="rId25" display="http://abs.twimg.com/images/themes/theme1/bg.png"/>
    <hyperlink ref="AU15" r:id="rId26" display="http://abs.twimg.com/images/themes/theme1/bg.png"/>
    <hyperlink ref="AU16" r:id="rId27" display="http://abs.twimg.com/images/themes/theme1/bg.png"/>
    <hyperlink ref="F3" r:id="rId28" display="http://pbs.twimg.com/profile_images/433324818658623488/hxhCoePy_normal.jpeg"/>
    <hyperlink ref="F4" r:id="rId29" display="http://pbs.twimg.com/profile_images/1060158056170954752/XDmPUkro_normal.jpg"/>
    <hyperlink ref="F5" r:id="rId30" display="http://pbs.twimg.com/profile_images/888131487710588928/TxnNBLKZ_normal.jpg"/>
    <hyperlink ref="F6" r:id="rId31" display="http://pbs.twimg.com/profile_images/487406679001026560/pubQUS9Z_normal.jpeg"/>
    <hyperlink ref="F7" r:id="rId32" display="http://pbs.twimg.com/profile_images/828754065706274816/bcfoORRd_normal.jpg"/>
    <hyperlink ref="F8" r:id="rId33" display="http://pbs.twimg.com/profile_images/849428984488185857/i3dIvJVS_normal.jpg"/>
    <hyperlink ref="F9" r:id="rId34" display="http://pbs.twimg.com/profile_images/966766832458674176/9rnz8MMA_normal.jpg"/>
    <hyperlink ref="F10" r:id="rId35" display="http://pbs.twimg.com/profile_images/852935198387732480/RZ-jnMw__normal.jpg"/>
    <hyperlink ref="F11" r:id="rId36" display="http://abs.twimg.com/sticky/default_profile_images/default_profile_normal.png"/>
    <hyperlink ref="F12" r:id="rId37" display="http://pbs.twimg.com/profile_images/887064077482065920/iIK7OfFQ_normal.jpg"/>
    <hyperlink ref="F13" r:id="rId38" display="http://pbs.twimg.com/profile_images/966007162500562945/JE8dLxj__normal.jpg"/>
    <hyperlink ref="F14" r:id="rId39" display="http://pbs.twimg.com/profile_images/949405284031610880/kvSoG2ED_normal.jpg"/>
    <hyperlink ref="F15" r:id="rId40" display="http://pbs.twimg.com/profile_images/901201131174363137/f5XejW6W_normal.jpg"/>
    <hyperlink ref="F16" r:id="rId41" display="http://pbs.twimg.com/profile_images/950447991495606272/ru9vq2m9_normal.jpg"/>
    <hyperlink ref="AX3" r:id="rId42" display="https://twitter.com/dailypoliticaln"/>
    <hyperlink ref="AX4" r:id="rId43" display="https://twitter.com/anadiobioma"/>
    <hyperlink ref="AX5" r:id="rId44" display="https://twitter.com/weekherald"/>
    <hyperlink ref="AX6" r:id="rId45" display="https://twitter.com/confcalltran"/>
    <hyperlink ref="AX7" r:id="rId46" display="https://twitter.com/chaffeybreeze"/>
    <hyperlink ref="AX8" r:id="rId47" display="https://twitter.com/themarketsdaily"/>
    <hyperlink ref="AX9" r:id="rId48" display="https://twitter.com/macondailynews"/>
    <hyperlink ref="AX10" r:id="rId49" display="https://twitter.com/transcriptdaily"/>
    <hyperlink ref="AX11" r:id="rId50" display="https://twitter.com/dakotafinancial"/>
    <hyperlink ref="AX12" r:id="rId51" display="https://twitter.com/stocknewstimes"/>
    <hyperlink ref="AX13" r:id="rId52" display="https://twitter.com/enterpriseleade"/>
    <hyperlink ref="AX14" r:id="rId53" display="https://twitter.com/registrarjourn"/>
    <hyperlink ref="AX15" r:id="rId54" display="https://twitter.com/dispatchtribune"/>
    <hyperlink ref="AX16" r:id="rId55" display="https://twitter.com/bbnsnews"/>
  </hyperlinks>
  <printOptions/>
  <pageMargins left="0.7" right="0.7" top="0.75" bottom="0.75" header="0.3" footer="0.3"/>
  <pageSetup horizontalDpi="600" verticalDpi="600" orientation="portrait" r:id="rId59"/>
  <legacyDrawing r:id="rId57"/>
  <tableParts>
    <tablePart r:id="rId58"/>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483</v>
      </c>
      <c r="Z2" s="13" t="s">
        <v>487</v>
      </c>
      <c r="AA2" s="13" t="s">
        <v>491</v>
      </c>
      <c r="AB2" s="13" t="s">
        <v>509</v>
      </c>
      <c r="AC2" s="13" t="s">
        <v>523</v>
      </c>
      <c r="AD2" s="13" t="s">
        <v>529</v>
      </c>
      <c r="AE2" s="13" t="s">
        <v>530</v>
      </c>
      <c r="AF2" s="13" t="s">
        <v>533</v>
      </c>
      <c r="AG2" s="68" t="s">
        <v>604</v>
      </c>
      <c r="AH2" s="68" t="s">
        <v>605</v>
      </c>
      <c r="AI2" s="68" t="s">
        <v>606</v>
      </c>
      <c r="AJ2" s="68" t="s">
        <v>607</v>
      </c>
      <c r="AK2" s="68" t="s">
        <v>608</v>
      </c>
      <c r="AL2" s="68" t="s">
        <v>609</v>
      </c>
      <c r="AM2" s="68" t="s">
        <v>610</v>
      </c>
      <c r="AN2" s="68" t="s">
        <v>611</v>
      </c>
      <c r="AO2" s="68" t="s">
        <v>614</v>
      </c>
    </row>
    <row r="3" spans="1:41" ht="15">
      <c r="A3" s="85" t="s">
        <v>465</v>
      </c>
      <c r="B3" s="118" t="s">
        <v>466</v>
      </c>
      <c r="C3" s="118" t="s">
        <v>56</v>
      </c>
      <c r="D3" s="15"/>
      <c r="E3" s="15"/>
      <c r="F3" s="16" t="s">
        <v>621</v>
      </c>
      <c r="G3" s="78"/>
      <c r="H3" s="78"/>
      <c r="I3" s="64">
        <v>3</v>
      </c>
      <c r="J3" s="64"/>
      <c r="K3" s="51">
        <v>14</v>
      </c>
      <c r="L3" s="51">
        <v>10</v>
      </c>
      <c r="M3" s="51">
        <v>8</v>
      </c>
      <c r="N3" s="51">
        <v>18</v>
      </c>
      <c r="O3" s="51">
        <v>18</v>
      </c>
      <c r="P3" s="52" t="s">
        <v>477</v>
      </c>
      <c r="Q3" s="52" t="s">
        <v>477</v>
      </c>
      <c r="R3" s="51">
        <v>14</v>
      </c>
      <c r="S3" s="51">
        <v>14</v>
      </c>
      <c r="T3" s="51">
        <v>1</v>
      </c>
      <c r="U3" s="51">
        <v>2</v>
      </c>
      <c r="V3" s="51">
        <v>0</v>
      </c>
      <c r="W3" s="52">
        <v>0</v>
      </c>
      <c r="X3" s="52">
        <v>0</v>
      </c>
      <c r="Y3" s="86" t="s">
        <v>484</v>
      </c>
      <c r="Z3" s="86" t="s">
        <v>488</v>
      </c>
      <c r="AA3" s="86" t="s">
        <v>275</v>
      </c>
      <c r="AB3" s="92" t="s">
        <v>510</v>
      </c>
      <c r="AC3" s="92" t="s">
        <v>524</v>
      </c>
      <c r="AD3" s="92"/>
      <c r="AE3" s="92"/>
      <c r="AF3" s="92" t="s">
        <v>534</v>
      </c>
      <c r="AG3" s="123">
        <v>3</v>
      </c>
      <c r="AH3" s="126">
        <v>1.5625</v>
      </c>
      <c r="AI3" s="123">
        <v>0</v>
      </c>
      <c r="AJ3" s="126">
        <v>0</v>
      </c>
      <c r="AK3" s="123">
        <v>0</v>
      </c>
      <c r="AL3" s="126">
        <v>0</v>
      </c>
      <c r="AM3" s="123">
        <v>189</v>
      </c>
      <c r="AN3" s="126">
        <v>98.4375</v>
      </c>
      <c r="AO3" s="123">
        <v>192</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6" t="s">
        <v>465</v>
      </c>
      <c r="B2" s="92" t="s">
        <v>212</v>
      </c>
      <c r="C2" s="86">
        <f>VLOOKUP(GroupVertices[[#This Row],[Vertex]],Vertices[],MATCH("ID",Vertices[[#Headers],[Vertex]:[Vertex Content Word Count]],0),FALSE)</f>
        <v>3</v>
      </c>
    </row>
    <row r="3" spans="1:3" ht="15">
      <c r="A3" s="86" t="s">
        <v>465</v>
      </c>
      <c r="B3" s="92" t="s">
        <v>213</v>
      </c>
      <c r="C3" s="86">
        <f>VLOOKUP(GroupVertices[[#This Row],[Vertex]],Vertices[],MATCH("ID",Vertices[[#Headers],[Vertex]:[Vertex Content Word Count]],0),FALSE)</f>
        <v>4</v>
      </c>
    </row>
    <row r="4" spans="1:3" ht="15">
      <c r="A4" s="86" t="s">
        <v>465</v>
      </c>
      <c r="B4" s="92" t="s">
        <v>214</v>
      </c>
      <c r="C4" s="86">
        <f>VLOOKUP(GroupVertices[[#This Row],[Vertex]],Vertices[],MATCH("ID",Vertices[[#Headers],[Vertex]:[Vertex Content Word Count]],0),FALSE)</f>
        <v>5</v>
      </c>
    </row>
    <row r="5" spans="1:3" ht="15">
      <c r="A5" s="86" t="s">
        <v>465</v>
      </c>
      <c r="B5" s="92" t="s">
        <v>215</v>
      </c>
      <c r="C5" s="86">
        <f>VLOOKUP(GroupVertices[[#This Row],[Vertex]],Vertices[],MATCH("ID",Vertices[[#Headers],[Vertex]:[Vertex Content Word Count]],0),FALSE)</f>
        <v>6</v>
      </c>
    </row>
    <row r="6" spans="1:3" ht="15">
      <c r="A6" s="86" t="s">
        <v>465</v>
      </c>
      <c r="B6" s="92" t="s">
        <v>216</v>
      </c>
      <c r="C6" s="86">
        <f>VLOOKUP(GroupVertices[[#This Row],[Vertex]],Vertices[],MATCH("ID",Vertices[[#Headers],[Vertex]:[Vertex Content Word Count]],0),FALSE)</f>
        <v>7</v>
      </c>
    </row>
    <row r="7" spans="1:3" ht="15">
      <c r="A7" s="86" t="s">
        <v>465</v>
      </c>
      <c r="B7" s="92" t="s">
        <v>217</v>
      </c>
      <c r="C7" s="86">
        <f>VLOOKUP(GroupVertices[[#This Row],[Vertex]],Vertices[],MATCH("ID",Vertices[[#Headers],[Vertex]:[Vertex Content Word Count]],0),FALSE)</f>
        <v>8</v>
      </c>
    </row>
    <row r="8" spans="1:3" ht="15">
      <c r="A8" s="86" t="s">
        <v>465</v>
      </c>
      <c r="B8" s="92" t="s">
        <v>218</v>
      </c>
      <c r="C8" s="86">
        <f>VLOOKUP(GroupVertices[[#This Row],[Vertex]],Vertices[],MATCH("ID",Vertices[[#Headers],[Vertex]:[Vertex Content Word Count]],0),FALSE)</f>
        <v>9</v>
      </c>
    </row>
    <row r="9" spans="1:3" ht="15">
      <c r="A9" s="86" t="s">
        <v>465</v>
      </c>
      <c r="B9" s="92" t="s">
        <v>219</v>
      </c>
      <c r="C9" s="86">
        <f>VLOOKUP(GroupVertices[[#This Row],[Vertex]],Vertices[],MATCH("ID",Vertices[[#Headers],[Vertex]:[Vertex Content Word Count]],0),FALSE)</f>
        <v>10</v>
      </c>
    </row>
    <row r="10" spans="1:3" ht="15">
      <c r="A10" s="86" t="s">
        <v>465</v>
      </c>
      <c r="B10" s="92" t="s">
        <v>220</v>
      </c>
      <c r="C10" s="86">
        <f>VLOOKUP(GroupVertices[[#This Row],[Vertex]],Vertices[],MATCH("ID",Vertices[[#Headers],[Vertex]:[Vertex Content Word Count]],0),FALSE)</f>
        <v>11</v>
      </c>
    </row>
    <row r="11" spans="1:3" ht="15">
      <c r="A11" s="86" t="s">
        <v>465</v>
      </c>
      <c r="B11" s="92" t="s">
        <v>221</v>
      </c>
      <c r="C11" s="86">
        <f>VLOOKUP(GroupVertices[[#This Row],[Vertex]],Vertices[],MATCH("ID",Vertices[[#Headers],[Vertex]:[Vertex Content Word Count]],0),FALSE)</f>
        <v>12</v>
      </c>
    </row>
    <row r="12" spans="1:3" ht="15">
      <c r="A12" s="86" t="s">
        <v>465</v>
      </c>
      <c r="B12" s="92" t="s">
        <v>222</v>
      </c>
      <c r="C12" s="86">
        <f>VLOOKUP(GroupVertices[[#This Row],[Vertex]],Vertices[],MATCH("ID",Vertices[[#Headers],[Vertex]:[Vertex Content Word Count]],0),FALSE)</f>
        <v>13</v>
      </c>
    </row>
    <row r="13" spans="1:3" ht="15">
      <c r="A13" s="86" t="s">
        <v>465</v>
      </c>
      <c r="B13" s="92" t="s">
        <v>223</v>
      </c>
      <c r="C13" s="86">
        <f>VLOOKUP(GroupVertices[[#This Row],[Vertex]],Vertices[],MATCH("ID",Vertices[[#Headers],[Vertex]:[Vertex Content Word Count]],0),FALSE)</f>
        <v>14</v>
      </c>
    </row>
    <row r="14" spans="1:3" ht="15">
      <c r="A14" s="86" t="s">
        <v>465</v>
      </c>
      <c r="B14" s="92" t="s">
        <v>224</v>
      </c>
      <c r="C14" s="86">
        <f>VLOOKUP(GroupVertices[[#This Row],[Vertex]],Vertices[],MATCH("ID",Vertices[[#Headers],[Vertex]:[Vertex Content Word Count]],0),FALSE)</f>
        <v>15</v>
      </c>
    </row>
    <row r="15" spans="1:3" ht="15">
      <c r="A15" s="86" t="s">
        <v>465</v>
      </c>
      <c r="B15" s="92" t="s">
        <v>225</v>
      </c>
      <c r="C15" s="86">
        <f>VLOOKUP(GroupVertices[[#This Row],[Vertex]],Vertices[],MATCH("ID",Vertices[[#Headers],[Vertex]:[Vertex Content Word Count]],0),FALSE)</f>
        <v>16</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473</v>
      </c>
      <c r="B2" s="36" t="s">
        <v>426</v>
      </c>
      <c r="D2" s="33">
        <f>MIN(Vertices[Degree])</f>
        <v>0</v>
      </c>
      <c r="E2" s="3">
        <f>COUNTIF(Vertices[Degree],"&gt;= "&amp;D2)-COUNTIF(Vertices[Degree],"&gt;="&amp;D3)</f>
        <v>0</v>
      </c>
      <c r="F2" s="39">
        <f>MIN(Vertices[In-Degree])</f>
        <v>1</v>
      </c>
      <c r="G2" s="40">
        <f>COUNTIF(Vertices[In-Degree],"&gt;= "&amp;F2)-COUNTIF(Vertices[In-Degree],"&gt;="&amp;F3)</f>
        <v>0</v>
      </c>
      <c r="H2" s="39">
        <f>MIN(Vertices[Out-Degree])</f>
        <v>1</v>
      </c>
      <c r="I2" s="40">
        <f>COUNTIF(Vertices[Out-Degree],"&gt;= "&amp;H2)-COUNTIF(Vertices[Out-Degree],"&gt;="&amp;H3)</f>
        <v>0</v>
      </c>
      <c r="J2" s="39">
        <f>MIN(Vertices[Betweenness Centrality])</f>
        <v>0</v>
      </c>
      <c r="K2" s="40">
        <f>COUNTIF(Vertices[Betweenness Centrality],"&gt;= "&amp;J2)-COUNTIF(Vertices[Betweenness Centrality],"&gt;="&amp;J3)</f>
        <v>0</v>
      </c>
      <c r="L2" s="39">
        <f>MIN(Vertices[Closeness Centrality])</f>
        <v>0</v>
      </c>
      <c r="M2" s="40">
        <f>COUNTIF(Vertices[Closeness Centrality],"&gt;= "&amp;L2)-COUNTIF(Vertices[Closeness Centrality],"&gt;="&amp;L3)</f>
        <v>0</v>
      </c>
      <c r="N2" s="39">
        <f>MIN(Vertices[Eigenvector Centrality])</f>
        <v>0.071429</v>
      </c>
      <c r="O2" s="40">
        <f>COUNTIF(Vertices[Eigenvector Centrality],"&gt;= "&amp;N2)-COUNTIF(Vertices[Eigenvector Centrality],"&gt;="&amp;N3)</f>
        <v>0</v>
      </c>
      <c r="P2" s="39">
        <f>MIN(Vertices[PageRank])</f>
        <v>0.999961</v>
      </c>
      <c r="Q2" s="40">
        <f>COUNTIF(Vertices[PageRank],"&gt;= "&amp;P2)-COUNTIF(Vertices[PageRank],"&gt;="&amp;P3)</f>
        <v>0</v>
      </c>
      <c r="R2" s="39">
        <f>MIN(Vertices[Clustering Coefficient])</f>
        <v>0</v>
      </c>
      <c r="S2" s="45">
        <f>COUNTIF(Vertices[Clustering Coefficient],"&gt;= "&amp;R2)-COUNTIF(Vertices[Clustering Coefficient],"&gt;="&amp;R3)</f>
        <v>0</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21"/>
      <c r="B3" s="121"/>
      <c r="D3" s="34">
        <f aca="true" t="shared" si="1" ref="D3:D26">D2+($D$57-$D$2)/BinDivisor</f>
        <v>0</v>
      </c>
      <c r="E3" s="3">
        <f>COUNTIF(Vertices[Degree],"&gt;= "&amp;D3)-COUNTIF(Vertices[Degree],"&gt;="&amp;D4)</f>
        <v>0</v>
      </c>
      <c r="F3" s="41">
        <f aca="true" t="shared" si="2" ref="F3:F26">F2+($F$57-$F$2)/BinDivisor</f>
        <v>1</v>
      </c>
      <c r="G3" s="42">
        <f>COUNTIF(Vertices[In-Degree],"&gt;= "&amp;F3)-COUNTIF(Vertices[In-Degree],"&gt;="&amp;F4)</f>
        <v>0</v>
      </c>
      <c r="H3" s="41">
        <f aca="true" t="shared" si="3" ref="H3:H26">H2+($H$57-$H$2)/BinDivisor</f>
        <v>1</v>
      </c>
      <c r="I3" s="42">
        <f>COUNTIF(Vertices[Out-Degree],"&gt;= "&amp;H3)-COUNTIF(Vertices[Out-Degree],"&gt;="&amp;H4)</f>
        <v>0</v>
      </c>
      <c r="J3" s="41">
        <f aca="true" t="shared" si="4" ref="J3:J26">J2+($J$57-$J$2)/BinDivisor</f>
        <v>0</v>
      </c>
      <c r="K3" s="42">
        <f>COUNTIF(Vertices[Betweenness Centrality],"&gt;= "&amp;J3)-COUNTIF(Vertices[Betweenness Centrality],"&gt;="&amp;J4)</f>
        <v>0</v>
      </c>
      <c r="L3" s="41">
        <f aca="true" t="shared" si="5" ref="L3:L26">L2+($L$57-$L$2)/BinDivisor</f>
        <v>0</v>
      </c>
      <c r="M3" s="42">
        <f>COUNTIF(Vertices[Closeness Centrality],"&gt;= "&amp;L3)-COUNTIF(Vertices[Closeness Centrality],"&gt;="&amp;L4)</f>
        <v>0</v>
      </c>
      <c r="N3" s="41">
        <f aca="true" t="shared" si="6" ref="N3:N26">N2+($N$57-$N$2)/BinDivisor</f>
        <v>0.071429</v>
      </c>
      <c r="O3" s="42">
        <f>COUNTIF(Vertices[Eigenvector Centrality],"&gt;= "&amp;N3)-COUNTIF(Vertices[Eigenvector Centrality],"&gt;="&amp;N4)</f>
        <v>0</v>
      </c>
      <c r="P3" s="41">
        <f aca="true" t="shared" si="7" ref="P3:P26">P2+($P$57-$P$2)/BinDivisor</f>
        <v>0.999961</v>
      </c>
      <c r="Q3" s="42">
        <f>COUNTIF(Vertices[PageRank],"&gt;= "&amp;P3)-COUNTIF(Vertices[PageRank],"&gt;="&amp;P4)</f>
        <v>0</v>
      </c>
      <c r="R3" s="41">
        <f aca="true" t="shared" si="8" ref="R3:R26">R2+($R$57-$R$2)/BinDivisor</f>
        <v>0</v>
      </c>
      <c r="S3" s="46">
        <f>COUNTIF(Vertices[Clustering Coefficient],"&gt;= "&amp;R3)-COUNTIF(Vertices[Clustering Coefficient],"&gt;="&amp;R4)</f>
        <v>0</v>
      </c>
      <c r="T3" s="41" t="e">
        <f aca="true" t="shared" si="9" ref="T3:T26">T2+($T$57-$T$2)/BinDivisor</f>
        <v>#REF!</v>
      </c>
      <c r="U3" s="42" t="e">
        <f ca="1" t="shared" si="0"/>
        <v>#REF!</v>
      </c>
      <c r="W3" t="s">
        <v>125</v>
      </c>
      <c r="X3" t="s">
        <v>85</v>
      </c>
    </row>
    <row r="4" spans="1:24" ht="15">
      <c r="A4" s="36" t="s">
        <v>146</v>
      </c>
      <c r="B4" s="36">
        <v>14</v>
      </c>
      <c r="D4" s="34">
        <f t="shared" si="1"/>
        <v>0</v>
      </c>
      <c r="E4" s="3">
        <f>COUNTIF(Vertices[Degree],"&gt;= "&amp;D4)-COUNTIF(Vertices[Degree],"&gt;="&amp;D5)</f>
        <v>0</v>
      </c>
      <c r="F4" s="39">
        <f t="shared" si="2"/>
        <v>1</v>
      </c>
      <c r="G4" s="40">
        <f>COUNTIF(Vertices[In-Degree],"&gt;= "&amp;F4)-COUNTIF(Vertices[In-Degree],"&gt;="&amp;F5)</f>
        <v>0</v>
      </c>
      <c r="H4" s="39">
        <f t="shared" si="3"/>
        <v>1</v>
      </c>
      <c r="I4" s="40">
        <f>COUNTIF(Vertices[Out-Degree],"&gt;= "&amp;H4)-COUNTIF(Vertices[Out-Degree],"&gt;="&amp;H5)</f>
        <v>0</v>
      </c>
      <c r="J4" s="39">
        <f t="shared" si="4"/>
        <v>0</v>
      </c>
      <c r="K4" s="40">
        <f>COUNTIF(Vertices[Betweenness Centrality],"&gt;= "&amp;J4)-COUNTIF(Vertices[Betweenness Centrality],"&gt;="&amp;J5)</f>
        <v>0</v>
      </c>
      <c r="L4" s="39">
        <f t="shared" si="5"/>
        <v>0</v>
      </c>
      <c r="M4" s="40">
        <f>COUNTIF(Vertices[Closeness Centrality],"&gt;= "&amp;L4)-COUNTIF(Vertices[Closeness Centrality],"&gt;="&amp;L5)</f>
        <v>0</v>
      </c>
      <c r="N4" s="39">
        <f t="shared" si="6"/>
        <v>0.071429</v>
      </c>
      <c r="O4" s="40">
        <f>COUNTIF(Vertices[Eigenvector Centrality],"&gt;= "&amp;N4)-COUNTIF(Vertices[Eigenvector Centrality],"&gt;="&amp;N5)</f>
        <v>0</v>
      </c>
      <c r="P4" s="39">
        <f t="shared" si="7"/>
        <v>0.999961</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1"/>
      <c r="B5" s="121"/>
      <c r="D5" s="34">
        <f t="shared" si="1"/>
        <v>0</v>
      </c>
      <c r="E5" s="3">
        <f>COUNTIF(Vertices[Degree],"&gt;= "&amp;D5)-COUNTIF(Vertices[Degree],"&gt;="&amp;D6)</f>
        <v>0</v>
      </c>
      <c r="F5" s="41">
        <f t="shared" si="2"/>
        <v>1</v>
      </c>
      <c r="G5" s="42">
        <f>COUNTIF(Vertices[In-Degree],"&gt;= "&amp;F5)-COUNTIF(Vertices[In-Degree],"&gt;="&amp;F6)</f>
        <v>0</v>
      </c>
      <c r="H5" s="41">
        <f t="shared" si="3"/>
        <v>1</v>
      </c>
      <c r="I5" s="42">
        <f>COUNTIF(Vertices[Out-Degree],"&gt;= "&amp;H5)-COUNTIF(Vertices[Out-Degree],"&gt;="&amp;H6)</f>
        <v>0</v>
      </c>
      <c r="J5" s="41">
        <f t="shared" si="4"/>
        <v>0</v>
      </c>
      <c r="K5" s="42">
        <f>COUNTIF(Vertices[Betweenness Centrality],"&gt;= "&amp;J5)-COUNTIF(Vertices[Betweenness Centrality],"&gt;="&amp;J6)</f>
        <v>0</v>
      </c>
      <c r="L5" s="41">
        <f t="shared" si="5"/>
        <v>0</v>
      </c>
      <c r="M5" s="42">
        <f>COUNTIF(Vertices[Closeness Centrality],"&gt;= "&amp;L5)-COUNTIF(Vertices[Closeness Centrality],"&gt;="&amp;L6)</f>
        <v>0</v>
      </c>
      <c r="N5" s="41">
        <f t="shared" si="6"/>
        <v>0.071429</v>
      </c>
      <c r="O5" s="42">
        <f>COUNTIF(Vertices[Eigenvector Centrality],"&gt;= "&amp;N5)-COUNTIF(Vertices[Eigenvector Centrality],"&gt;="&amp;N6)</f>
        <v>0</v>
      </c>
      <c r="P5" s="41">
        <f t="shared" si="7"/>
        <v>0.999961</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10</v>
      </c>
      <c r="D6" s="34">
        <f t="shared" si="1"/>
        <v>0</v>
      </c>
      <c r="E6" s="3">
        <f>COUNTIF(Vertices[Degree],"&gt;= "&amp;D6)-COUNTIF(Vertices[Degree],"&gt;="&amp;D7)</f>
        <v>0</v>
      </c>
      <c r="F6" s="39">
        <f t="shared" si="2"/>
        <v>1</v>
      </c>
      <c r="G6" s="40">
        <f>COUNTIF(Vertices[In-Degree],"&gt;= "&amp;F6)-COUNTIF(Vertices[In-Degree],"&gt;="&amp;F7)</f>
        <v>0</v>
      </c>
      <c r="H6" s="39">
        <f t="shared" si="3"/>
        <v>1</v>
      </c>
      <c r="I6" s="40">
        <f>COUNTIF(Vertices[Out-Degree],"&gt;= "&amp;H6)-COUNTIF(Vertices[Out-Degree],"&gt;="&amp;H7)</f>
        <v>0</v>
      </c>
      <c r="J6" s="39">
        <f t="shared" si="4"/>
        <v>0</v>
      </c>
      <c r="K6" s="40">
        <f>COUNTIF(Vertices[Betweenness Centrality],"&gt;= "&amp;J6)-COUNTIF(Vertices[Betweenness Centrality],"&gt;="&amp;J7)</f>
        <v>0</v>
      </c>
      <c r="L6" s="39">
        <f t="shared" si="5"/>
        <v>0</v>
      </c>
      <c r="M6" s="40">
        <f>COUNTIF(Vertices[Closeness Centrality],"&gt;= "&amp;L6)-COUNTIF(Vertices[Closeness Centrality],"&gt;="&amp;L7)</f>
        <v>0</v>
      </c>
      <c r="N6" s="39">
        <f t="shared" si="6"/>
        <v>0.071429</v>
      </c>
      <c r="O6" s="40">
        <f>COUNTIF(Vertices[Eigenvector Centrality],"&gt;= "&amp;N6)-COUNTIF(Vertices[Eigenvector Centrality],"&gt;="&amp;N7)</f>
        <v>0</v>
      </c>
      <c r="P6" s="39">
        <f t="shared" si="7"/>
        <v>0.999961</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8</v>
      </c>
      <c r="D7" s="34">
        <f t="shared" si="1"/>
        <v>0</v>
      </c>
      <c r="E7" s="3">
        <f>COUNTIF(Vertices[Degree],"&gt;= "&amp;D7)-COUNTIF(Vertices[Degree],"&gt;="&amp;D8)</f>
        <v>0</v>
      </c>
      <c r="F7" s="41">
        <f t="shared" si="2"/>
        <v>1</v>
      </c>
      <c r="G7" s="42">
        <f>COUNTIF(Vertices[In-Degree],"&gt;= "&amp;F7)-COUNTIF(Vertices[In-Degree],"&gt;="&amp;F8)</f>
        <v>0</v>
      </c>
      <c r="H7" s="41">
        <f t="shared" si="3"/>
        <v>1</v>
      </c>
      <c r="I7" s="42">
        <f>COUNTIF(Vertices[Out-Degree],"&gt;= "&amp;H7)-COUNTIF(Vertices[Out-Degree],"&gt;="&amp;H8)</f>
        <v>0</v>
      </c>
      <c r="J7" s="41">
        <f t="shared" si="4"/>
        <v>0</v>
      </c>
      <c r="K7" s="42">
        <f>COUNTIF(Vertices[Betweenness Centrality],"&gt;= "&amp;J7)-COUNTIF(Vertices[Betweenness Centrality],"&gt;="&amp;J8)</f>
        <v>0</v>
      </c>
      <c r="L7" s="41">
        <f t="shared" si="5"/>
        <v>0</v>
      </c>
      <c r="M7" s="42">
        <f>COUNTIF(Vertices[Closeness Centrality],"&gt;= "&amp;L7)-COUNTIF(Vertices[Closeness Centrality],"&gt;="&amp;L8)</f>
        <v>0</v>
      </c>
      <c r="N7" s="41">
        <f t="shared" si="6"/>
        <v>0.071429</v>
      </c>
      <c r="O7" s="42">
        <f>COUNTIF(Vertices[Eigenvector Centrality],"&gt;= "&amp;N7)-COUNTIF(Vertices[Eigenvector Centrality],"&gt;="&amp;N8)</f>
        <v>0</v>
      </c>
      <c r="P7" s="41">
        <f t="shared" si="7"/>
        <v>0.999961</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18</v>
      </c>
      <c r="D8" s="34">
        <f t="shared" si="1"/>
        <v>0</v>
      </c>
      <c r="E8" s="3">
        <f>COUNTIF(Vertices[Degree],"&gt;= "&amp;D8)-COUNTIF(Vertices[Degree],"&gt;="&amp;D9)</f>
        <v>0</v>
      </c>
      <c r="F8" s="39">
        <f t="shared" si="2"/>
        <v>1</v>
      </c>
      <c r="G8" s="40">
        <f>COUNTIF(Vertices[In-Degree],"&gt;= "&amp;F8)-COUNTIF(Vertices[In-Degree],"&gt;="&amp;F9)</f>
        <v>0</v>
      </c>
      <c r="H8" s="39">
        <f t="shared" si="3"/>
        <v>1</v>
      </c>
      <c r="I8" s="40">
        <f>COUNTIF(Vertices[Out-Degree],"&gt;= "&amp;H8)-COUNTIF(Vertices[Out-Degree],"&gt;="&amp;H9)</f>
        <v>0</v>
      </c>
      <c r="J8" s="39">
        <f t="shared" si="4"/>
        <v>0</v>
      </c>
      <c r="K8" s="40">
        <f>COUNTIF(Vertices[Betweenness Centrality],"&gt;= "&amp;J8)-COUNTIF(Vertices[Betweenness Centrality],"&gt;="&amp;J9)</f>
        <v>0</v>
      </c>
      <c r="L8" s="39">
        <f t="shared" si="5"/>
        <v>0</v>
      </c>
      <c r="M8" s="40">
        <f>COUNTIF(Vertices[Closeness Centrality],"&gt;= "&amp;L8)-COUNTIF(Vertices[Closeness Centrality],"&gt;="&amp;L9)</f>
        <v>0</v>
      </c>
      <c r="N8" s="39">
        <f t="shared" si="6"/>
        <v>0.071429</v>
      </c>
      <c r="O8" s="40">
        <f>COUNTIF(Vertices[Eigenvector Centrality],"&gt;= "&amp;N8)-COUNTIF(Vertices[Eigenvector Centrality],"&gt;="&amp;N9)</f>
        <v>0</v>
      </c>
      <c r="P8" s="39">
        <f t="shared" si="7"/>
        <v>0.999961</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1"/>
      <c r="B9" s="121"/>
      <c r="D9" s="34">
        <f t="shared" si="1"/>
        <v>0</v>
      </c>
      <c r="E9" s="3">
        <f>COUNTIF(Vertices[Degree],"&gt;= "&amp;D9)-COUNTIF(Vertices[Degree],"&gt;="&amp;D10)</f>
        <v>0</v>
      </c>
      <c r="F9" s="41">
        <f t="shared" si="2"/>
        <v>1</v>
      </c>
      <c r="G9" s="42">
        <f>COUNTIF(Vertices[In-Degree],"&gt;= "&amp;F9)-COUNTIF(Vertices[In-Degree],"&gt;="&amp;F10)</f>
        <v>0</v>
      </c>
      <c r="H9" s="41">
        <f t="shared" si="3"/>
        <v>1</v>
      </c>
      <c r="I9" s="42">
        <f>COUNTIF(Vertices[Out-Degree],"&gt;= "&amp;H9)-COUNTIF(Vertices[Out-Degree],"&gt;="&amp;H10)</f>
        <v>0</v>
      </c>
      <c r="J9" s="41">
        <f t="shared" si="4"/>
        <v>0</v>
      </c>
      <c r="K9" s="42">
        <f>COUNTIF(Vertices[Betweenness Centrality],"&gt;= "&amp;J9)-COUNTIF(Vertices[Betweenness Centrality],"&gt;="&amp;J10)</f>
        <v>0</v>
      </c>
      <c r="L9" s="41">
        <f t="shared" si="5"/>
        <v>0</v>
      </c>
      <c r="M9" s="42">
        <f>COUNTIF(Vertices[Closeness Centrality],"&gt;= "&amp;L9)-COUNTIF(Vertices[Closeness Centrality],"&gt;="&amp;L10)</f>
        <v>0</v>
      </c>
      <c r="N9" s="41">
        <f t="shared" si="6"/>
        <v>0.071429</v>
      </c>
      <c r="O9" s="42">
        <f>COUNTIF(Vertices[Eigenvector Centrality],"&gt;= "&amp;N9)-COUNTIF(Vertices[Eigenvector Centrality],"&gt;="&amp;N10)</f>
        <v>0</v>
      </c>
      <c r="P9" s="41">
        <f t="shared" si="7"/>
        <v>0.999961</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474</v>
      </c>
      <c r="B10" s="36">
        <v>1</v>
      </c>
      <c r="D10" s="34">
        <f t="shared" si="1"/>
        <v>0</v>
      </c>
      <c r="E10" s="3">
        <f>COUNTIF(Vertices[Degree],"&gt;= "&amp;D10)-COUNTIF(Vertices[Degree],"&gt;="&amp;D11)</f>
        <v>0</v>
      </c>
      <c r="F10" s="39">
        <f t="shared" si="2"/>
        <v>1</v>
      </c>
      <c r="G10" s="40">
        <f>COUNTIF(Vertices[In-Degree],"&gt;= "&amp;F10)-COUNTIF(Vertices[In-Degree],"&gt;="&amp;F11)</f>
        <v>0</v>
      </c>
      <c r="H10" s="39">
        <f t="shared" si="3"/>
        <v>1</v>
      </c>
      <c r="I10" s="40">
        <f>COUNTIF(Vertices[Out-Degree],"&gt;= "&amp;H10)-COUNTIF(Vertices[Out-Degree],"&gt;="&amp;H11)</f>
        <v>0</v>
      </c>
      <c r="J10" s="39">
        <f t="shared" si="4"/>
        <v>0</v>
      </c>
      <c r="K10" s="40">
        <f>COUNTIF(Vertices[Betweenness Centrality],"&gt;= "&amp;J10)-COUNTIF(Vertices[Betweenness Centrality],"&gt;="&amp;J11)</f>
        <v>0</v>
      </c>
      <c r="L10" s="39">
        <f t="shared" si="5"/>
        <v>0</v>
      </c>
      <c r="M10" s="40">
        <f>COUNTIF(Vertices[Closeness Centrality],"&gt;= "&amp;L10)-COUNTIF(Vertices[Closeness Centrality],"&gt;="&amp;L11)</f>
        <v>0</v>
      </c>
      <c r="N10" s="39">
        <f t="shared" si="6"/>
        <v>0.071429</v>
      </c>
      <c r="O10" s="40">
        <f>COUNTIF(Vertices[Eigenvector Centrality],"&gt;= "&amp;N10)-COUNTIF(Vertices[Eigenvector Centrality],"&gt;="&amp;N11)</f>
        <v>0</v>
      </c>
      <c r="P10" s="39">
        <f t="shared" si="7"/>
        <v>0.999961</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1"/>
      <c r="B11" s="121"/>
      <c r="D11" s="34">
        <f t="shared" si="1"/>
        <v>0</v>
      </c>
      <c r="E11" s="3">
        <f>COUNTIF(Vertices[Degree],"&gt;= "&amp;D11)-COUNTIF(Vertices[Degree],"&gt;="&amp;D12)</f>
        <v>0</v>
      </c>
      <c r="F11" s="41">
        <f t="shared" si="2"/>
        <v>1</v>
      </c>
      <c r="G11" s="42">
        <f>COUNTIF(Vertices[In-Degree],"&gt;= "&amp;F11)-COUNTIF(Vertices[In-Degree],"&gt;="&amp;F12)</f>
        <v>0</v>
      </c>
      <c r="H11" s="41">
        <f t="shared" si="3"/>
        <v>1</v>
      </c>
      <c r="I11" s="42">
        <f>COUNTIF(Vertices[Out-Degree],"&gt;= "&amp;H11)-COUNTIF(Vertices[Out-Degree],"&gt;="&amp;H12)</f>
        <v>0</v>
      </c>
      <c r="J11" s="41">
        <f t="shared" si="4"/>
        <v>0</v>
      </c>
      <c r="K11" s="42">
        <f>COUNTIF(Vertices[Betweenness Centrality],"&gt;= "&amp;J11)-COUNTIF(Vertices[Betweenness Centrality],"&gt;="&amp;J12)</f>
        <v>0</v>
      </c>
      <c r="L11" s="41">
        <f t="shared" si="5"/>
        <v>0</v>
      </c>
      <c r="M11" s="42">
        <f>COUNTIF(Vertices[Closeness Centrality],"&gt;= "&amp;L11)-COUNTIF(Vertices[Closeness Centrality],"&gt;="&amp;L12)</f>
        <v>0</v>
      </c>
      <c r="N11" s="41">
        <f t="shared" si="6"/>
        <v>0.071429</v>
      </c>
      <c r="O11" s="42">
        <f>COUNTIF(Vertices[Eigenvector Centrality],"&gt;= "&amp;N11)-COUNTIF(Vertices[Eigenvector Centrality],"&gt;="&amp;N12)</f>
        <v>0</v>
      </c>
      <c r="P11" s="41">
        <f t="shared" si="7"/>
        <v>0.999961</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176</v>
      </c>
      <c r="B12" s="36">
        <v>18</v>
      </c>
      <c r="D12" s="34">
        <f t="shared" si="1"/>
        <v>0</v>
      </c>
      <c r="E12" s="3">
        <f>COUNTIF(Vertices[Degree],"&gt;= "&amp;D12)-COUNTIF(Vertices[Degree],"&gt;="&amp;D13)</f>
        <v>0</v>
      </c>
      <c r="F12" s="39">
        <f t="shared" si="2"/>
        <v>1</v>
      </c>
      <c r="G12" s="40">
        <f>COUNTIF(Vertices[In-Degree],"&gt;= "&amp;F12)-COUNTIF(Vertices[In-Degree],"&gt;="&amp;F13)</f>
        <v>0</v>
      </c>
      <c r="H12" s="39">
        <f t="shared" si="3"/>
        <v>1</v>
      </c>
      <c r="I12" s="40">
        <f>COUNTIF(Vertices[Out-Degree],"&gt;= "&amp;H12)-COUNTIF(Vertices[Out-Degree],"&gt;="&amp;H13)</f>
        <v>0</v>
      </c>
      <c r="J12" s="39">
        <f t="shared" si="4"/>
        <v>0</v>
      </c>
      <c r="K12" s="40">
        <f>COUNTIF(Vertices[Betweenness Centrality],"&gt;= "&amp;J12)-COUNTIF(Vertices[Betweenness Centrality],"&gt;="&amp;J13)</f>
        <v>0</v>
      </c>
      <c r="L12" s="39">
        <f t="shared" si="5"/>
        <v>0</v>
      </c>
      <c r="M12" s="40">
        <f>COUNTIF(Vertices[Closeness Centrality],"&gt;= "&amp;L12)-COUNTIF(Vertices[Closeness Centrality],"&gt;="&amp;L13)</f>
        <v>0</v>
      </c>
      <c r="N12" s="39">
        <f t="shared" si="6"/>
        <v>0.071429</v>
      </c>
      <c r="O12" s="40">
        <f>COUNTIF(Vertices[Eigenvector Centrality],"&gt;= "&amp;N12)-COUNTIF(Vertices[Eigenvector Centrality],"&gt;="&amp;N13)</f>
        <v>0</v>
      </c>
      <c r="P12" s="39">
        <f t="shared" si="7"/>
        <v>0.999961</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121"/>
      <c r="B13" s="121"/>
      <c r="D13" s="34">
        <f t="shared" si="1"/>
        <v>0</v>
      </c>
      <c r="E13" s="3">
        <f>COUNTIF(Vertices[Degree],"&gt;= "&amp;D13)-COUNTIF(Vertices[Degree],"&gt;="&amp;D14)</f>
        <v>0</v>
      </c>
      <c r="F13" s="41">
        <f t="shared" si="2"/>
        <v>1</v>
      </c>
      <c r="G13" s="42">
        <f>COUNTIF(Vertices[In-Degree],"&gt;= "&amp;F13)-COUNTIF(Vertices[In-Degree],"&gt;="&amp;F14)</f>
        <v>0</v>
      </c>
      <c r="H13" s="41">
        <f t="shared" si="3"/>
        <v>1</v>
      </c>
      <c r="I13" s="42">
        <f>COUNTIF(Vertices[Out-Degree],"&gt;= "&amp;H13)-COUNTIF(Vertices[Out-Degree],"&gt;="&amp;H14)</f>
        <v>0</v>
      </c>
      <c r="J13" s="41">
        <f t="shared" si="4"/>
        <v>0</v>
      </c>
      <c r="K13" s="42">
        <f>COUNTIF(Vertices[Betweenness Centrality],"&gt;= "&amp;J13)-COUNTIF(Vertices[Betweenness Centrality],"&gt;="&amp;J14)</f>
        <v>0</v>
      </c>
      <c r="L13" s="41">
        <f t="shared" si="5"/>
        <v>0</v>
      </c>
      <c r="M13" s="42">
        <f>COUNTIF(Vertices[Closeness Centrality],"&gt;= "&amp;L13)-COUNTIF(Vertices[Closeness Centrality],"&gt;="&amp;L14)</f>
        <v>0</v>
      </c>
      <c r="N13" s="41">
        <f t="shared" si="6"/>
        <v>0.071429</v>
      </c>
      <c r="O13" s="42">
        <f>COUNTIF(Vertices[Eigenvector Centrality],"&gt;= "&amp;N13)-COUNTIF(Vertices[Eigenvector Centrality],"&gt;="&amp;N14)</f>
        <v>0</v>
      </c>
      <c r="P13" s="41">
        <f t="shared" si="7"/>
        <v>0.999961</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151</v>
      </c>
      <c r="B14" s="36">
        <v>18</v>
      </c>
      <c r="D14" s="34">
        <f t="shared" si="1"/>
        <v>0</v>
      </c>
      <c r="E14" s="3">
        <f>COUNTIF(Vertices[Degree],"&gt;= "&amp;D14)-COUNTIF(Vertices[Degree],"&gt;="&amp;D15)</f>
        <v>0</v>
      </c>
      <c r="F14" s="39">
        <f t="shared" si="2"/>
        <v>1</v>
      </c>
      <c r="G14" s="40">
        <f>COUNTIF(Vertices[In-Degree],"&gt;= "&amp;F14)-COUNTIF(Vertices[In-Degree],"&gt;="&amp;F15)</f>
        <v>0</v>
      </c>
      <c r="H14" s="39">
        <f t="shared" si="3"/>
        <v>1</v>
      </c>
      <c r="I14" s="40">
        <f>COUNTIF(Vertices[Out-Degree],"&gt;= "&amp;H14)-COUNTIF(Vertices[Out-Degree],"&gt;="&amp;H15)</f>
        <v>0</v>
      </c>
      <c r="J14" s="39">
        <f t="shared" si="4"/>
        <v>0</v>
      </c>
      <c r="K14" s="40">
        <f>COUNTIF(Vertices[Betweenness Centrality],"&gt;= "&amp;J14)-COUNTIF(Vertices[Betweenness Centrality],"&gt;="&amp;J15)</f>
        <v>0</v>
      </c>
      <c r="L14" s="39">
        <f t="shared" si="5"/>
        <v>0</v>
      </c>
      <c r="M14" s="40">
        <f>COUNTIF(Vertices[Closeness Centrality],"&gt;= "&amp;L14)-COUNTIF(Vertices[Closeness Centrality],"&gt;="&amp;L15)</f>
        <v>0</v>
      </c>
      <c r="N14" s="39">
        <f t="shared" si="6"/>
        <v>0.071429</v>
      </c>
      <c r="O14" s="40">
        <f>COUNTIF(Vertices[Eigenvector Centrality],"&gt;= "&amp;N14)-COUNTIF(Vertices[Eigenvector Centrality],"&gt;="&amp;N15)</f>
        <v>0</v>
      </c>
      <c r="P14" s="39">
        <f t="shared" si="7"/>
        <v>0.999961</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121"/>
      <c r="B15" s="121"/>
      <c r="D15" s="34">
        <f t="shared" si="1"/>
        <v>0</v>
      </c>
      <c r="E15" s="3">
        <f>COUNTIF(Vertices[Degree],"&gt;= "&amp;D15)-COUNTIF(Vertices[Degree],"&gt;="&amp;D16)</f>
        <v>0</v>
      </c>
      <c r="F15" s="41">
        <f t="shared" si="2"/>
        <v>1</v>
      </c>
      <c r="G15" s="42">
        <f>COUNTIF(Vertices[In-Degree],"&gt;= "&amp;F15)-COUNTIF(Vertices[In-Degree],"&gt;="&amp;F16)</f>
        <v>0</v>
      </c>
      <c r="H15" s="41">
        <f t="shared" si="3"/>
        <v>1</v>
      </c>
      <c r="I15" s="42">
        <f>COUNTIF(Vertices[Out-Degree],"&gt;= "&amp;H15)-COUNTIF(Vertices[Out-Degree],"&gt;="&amp;H16)</f>
        <v>0</v>
      </c>
      <c r="J15" s="41">
        <f t="shared" si="4"/>
        <v>0</v>
      </c>
      <c r="K15" s="42">
        <f>COUNTIF(Vertices[Betweenness Centrality],"&gt;= "&amp;J15)-COUNTIF(Vertices[Betweenness Centrality],"&gt;="&amp;J16)</f>
        <v>0</v>
      </c>
      <c r="L15" s="41">
        <f t="shared" si="5"/>
        <v>0</v>
      </c>
      <c r="M15" s="42">
        <f>COUNTIF(Vertices[Closeness Centrality],"&gt;= "&amp;L15)-COUNTIF(Vertices[Closeness Centrality],"&gt;="&amp;L16)</f>
        <v>0</v>
      </c>
      <c r="N15" s="41">
        <f t="shared" si="6"/>
        <v>0.071429</v>
      </c>
      <c r="O15" s="42">
        <f>COUNTIF(Vertices[Eigenvector Centrality],"&gt;= "&amp;N15)-COUNTIF(Vertices[Eigenvector Centrality],"&gt;="&amp;N16)</f>
        <v>0</v>
      </c>
      <c r="P15" s="41">
        <f t="shared" si="7"/>
        <v>0.999961</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170</v>
      </c>
      <c r="B16" s="36" t="s">
        <v>477</v>
      </c>
      <c r="D16" s="34">
        <f t="shared" si="1"/>
        <v>0</v>
      </c>
      <c r="E16" s="3">
        <f>COUNTIF(Vertices[Degree],"&gt;= "&amp;D16)-COUNTIF(Vertices[Degree],"&gt;="&amp;D17)</f>
        <v>0</v>
      </c>
      <c r="F16" s="39">
        <f t="shared" si="2"/>
        <v>1</v>
      </c>
      <c r="G16" s="40">
        <f>COUNTIF(Vertices[In-Degree],"&gt;= "&amp;F16)-COUNTIF(Vertices[In-Degree],"&gt;="&amp;F17)</f>
        <v>0</v>
      </c>
      <c r="H16" s="39">
        <f t="shared" si="3"/>
        <v>1</v>
      </c>
      <c r="I16" s="40">
        <f>COUNTIF(Vertices[Out-Degree],"&gt;= "&amp;H16)-COUNTIF(Vertices[Out-Degree],"&gt;="&amp;H17)</f>
        <v>0</v>
      </c>
      <c r="J16" s="39">
        <f t="shared" si="4"/>
        <v>0</v>
      </c>
      <c r="K16" s="40">
        <f>COUNTIF(Vertices[Betweenness Centrality],"&gt;= "&amp;J16)-COUNTIF(Vertices[Betweenness Centrality],"&gt;="&amp;J17)</f>
        <v>0</v>
      </c>
      <c r="L16" s="39">
        <f t="shared" si="5"/>
        <v>0</v>
      </c>
      <c r="M16" s="40">
        <f>COUNTIF(Vertices[Closeness Centrality],"&gt;= "&amp;L16)-COUNTIF(Vertices[Closeness Centrality],"&gt;="&amp;L17)</f>
        <v>0</v>
      </c>
      <c r="N16" s="39">
        <f t="shared" si="6"/>
        <v>0.071429</v>
      </c>
      <c r="O16" s="40">
        <f>COUNTIF(Vertices[Eigenvector Centrality],"&gt;= "&amp;N16)-COUNTIF(Vertices[Eigenvector Centrality],"&gt;="&amp;N17)</f>
        <v>0</v>
      </c>
      <c r="P16" s="39">
        <f t="shared" si="7"/>
        <v>0.999961</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t="s">
        <v>171</v>
      </c>
      <c r="B17" s="36" t="s">
        <v>477</v>
      </c>
      <c r="D17" s="34">
        <f t="shared" si="1"/>
        <v>0</v>
      </c>
      <c r="E17" s="3">
        <f>COUNTIF(Vertices[Degree],"&gt;= "&amp;D17)-COUNTIF(Vertices[Degree],"&gt;="&amp;D18)</f>
        <v>0</v>
      </c>
      <c r="F17" s="41">
        <f t="shared" si="2"/>
        <v>1</v>
      </c>
      <c r="G17" s="42">
        <f>COUNTIF(Vertices[In-Degree],"&gt;= "&amp;F17)-COUNTIF(Vertices[In-Degree],"&gt;="&amp;F18)</f>
        <v>0</v>
      </c>
      <c r="H17" s="41">
        <f t="shared" si="3"/>
        <v>1</v>
      </c>
      <c r="I17" s="42">
        <f>COUNTIF(Vertices[Out-Degree],"&gt;= "&amp;H17)-COUNTIF(Vertices[Out-Degree],"&gt;="&amp;H18)</f>
        <v>0</v>
      </c>
      <c r="J17" s="41">
        <f t="shared" si="4"/>
        <v>0</v>
      </c>
      <c r="K17" s="42">
        <f>COUNTIF(Vertices[Betweenness Centrality],"&gt;= "&amp;J17)-COUNTIF(Vertices[Betweenness Centrality],"&gt;="&amp;J18)</f>
        <v>0</v>
      </c>
      <c r="L17" s="41">
        <f t="shared" si="5"/>
        <v>0</v>
      </c>
      <c r="M17" s="42">
        <f>COUNTIF(Vertices[Closeness Centrality],"&gt;= "&amp;L17)-COUNTIF(Vertices[Closeness Centrality],"&gt;="&amp;L18)</f>
        <v>0</v>
      </c>
      <c r="N17" s="41">
        <f t="shared" si="6"/>
        <v>0.071429</v>
      </c>
      <c r="O17" s="42">
        <f>COUNTIF(Vertices[Eigenvector Centrality],"&gt;= "&amp;N17)-COUNTIF(Vertices[Eigenvector Centrality],"&gt;="&amp;N18)</f>
        <v>0</v>
      </c>
      <c r="P17" s="41">
        <f t="shared" si="7"/>
        <v>0.999961</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121"/>
      <c r="B18" s="121"/>
      <c r="D18" s="34">
        <f t="shared" si="1"/>
        <v>0</v>
      </c>
      <c r="E18" s="3">
        <f>COUNTIF(Vertices[Degree],"&gt;= "&amp;D18)-COUNTIF(Vertices[Degree],"&gt;="&amp;D19)</f>
        <v>0</v>
      </c>
      <c r="F18" s="39">
        <f t="shared" si="2"/>
        <v>1</v>
      </c>
      <c r="G18" s="40">
        <f>COUNTIF(Vertices[In-Degree],"&gt;= "&amp;F18)-COUNTIF(Vertices[In-Degree],"&gt;="&amp;F19)</f>
        <v>0</v>
      </c>
      <c r="H18" s="39">
        <f t="shared" si="3"/>
        <v>1</v>
      </c>
      <c r="I18" s="40">
        <f>COUNTIF(Vertices[Out-Degree],"&gt;= "&amp;H18)-COUNTIF(Vertices[Out-Degree],"&gt;="&amp;H19)</f>
        <v>0</v>
      </c>
      <c r="J18" s="39">
        <f t="shared" si="4"/>
        <v>0</v>
      </c>
      <c r="K18" s="40">
        <f>COUNTIF(Vertices[Betweenness Centrality],"&gt;= "&amp;J18)-COUNTIF(Vertices[Betweenness Centrality],"&gt;="&amp;J19)</f>
        <v>0</v>
      </c>
      <c r="L18" s="39">
        <f t="shared" si="5"/>
        <v>0</v>
      </c>
      <c r="M18" s="40">
        <f>COUNTIF(Vertices[Closeness Centrality],"&gt;= "&amp;L18)-COUNTIF(Vertices[Closeness Centrality],"&gt;="&amp;L19)</f>
        <v>0</v>
      </c>
      <c r="N18" s="39">
        <f t="shared" si="6"/>
        <v>0.071429</v>
      </c>
      <c r="O18" s="40">
        <f>COUNTIF(Vertices[Eigenvector Centrality],"&gt;= "&amp;N18)-COUNTIF(Vertices[Eigenvector Centrality],"&gt;="&amp;N19)</f>
        <v>0</v>
      </c>
      <c r="P18" s="39">
        <f t="shared" si="7"/>
        <v>0.999961</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152</v>
      </c>
      <c r="B19" s="36">
        <v>14</v>
      </c>
      <c r="D19" s="34">
        <f t="shared" si="1"/>
        <v>0</v>
      </c>
      <c r="E19" s="3">
        <f>COUNTIF(Vertices[Degree],"&gt;= "&amp;D19)-COUNTIF(Vertices[Degree],"&gt;="&amp;D20)</f>
        <v>0</v>
      </c>
      <c r="F19" s="41">
        <f t="shared" si="2"/>
        <v>1</v>
      </c>
      <c r="G19" s="42">
        <f>COUNTIF(Vertices[In-Degree],"&gt;= "&amp;F19)-COUNTIF(Vertices[In-Degree],"&gt;="&amp;F20)</f>
        <v>0</v>
      </c>
      <c r="H19" s="41">
        <f t="shared" si="3"/>
        <v>1</v>
      </c>
      <c r="I19" s="42">
        <f>COUNTIF(Vertices[Out-Degree],"&gt;= "&amp;H19)-COUNTIF(Vertices[Out-Degree],"&gt;="&amp;H20)</f>
        <v>0</v>
      </c>
      <c r="J19" s="41">
        <f t="shared" si="4"/>
        <v>0</v>
      </c>
      <c r="K19" s="42">
        <f>COUNTIF(Vertices[Betweenness Centrality],"&gt;= "&amp;J19)-COUNTIF(Vertices[Betweenness Centrality],"&gt;="&amp;J20)</f>
        <v>0</v>
      </c>
      <c r="L19" s="41">
        <f t="shared" si="5"/>
        <v>0</v>
      </c>
      <c r="M19" s="42">
        <f>COUNTIF(Vertices[Closeness Centrality],"&gt;= "&amp;L19)-COUNTIF(Vertices[Closeness Centrality],"&gt;="&amp;L20)</f>
        <v>0</v>
      </c>
      <c r="N19" s="41">
        <f t="shared" si="6"/>
        <v>0.071429</v>
      </c>
      <c r="O19" s="42">
        <f>COUNTIF(Vertices[Eigenvector Centrality],"&gt;= "&amp;N19)-COUNTIF(Vertices[Eigenvector Centrality],"&gt;="&amp;N20)</f>
        <v>0</v>
      </c>
      <c r="P19" s="41">
        <f t="shared" si="7"/>
        <v>0.999961</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153</v>
      </c>
      <c r="B20" s="36">
        <v>14</v>
      </c>
      <c r="D20" s="34">
        <f t="shared" si="1"/>
        <v>0</v>
      </c>
      <c r="E20" s="3">
        <f>COUNTIF(Vertices[Degree],"&gt;= "&amp;D20)-COUNTIF(Vertices[Degree],"&gt;="&amp;D21)</f>
        <v>0</v>
      </c>
      <c r="F20" s="39">
        <f t="shared" si="2"/>
        <v>1</v>
      </c>
      <c r="G20" s="40">
        <f>COUNTIF(Vertices[In-Degree],"&gt;= "&amp;F20)-COUNTIF(Vertices[In-Degree],"&gt;="&amp;F21)</f>
        <v>0</v>
      </c>
      <c r="H20" s="39">
        <f t="shared" si="3"/>
        <v>1</v>
      </c>
      <c r="I20" s="40">
        <f>COUNTIF(Vertices[Out-Degree],"&gt;= "&amp;H20)-COUNTIF(Vertices[Out-Degree],"&gt;="&amp;H21)</f>
        <v>0</v>
      </c>
      <c r="J20" s="39">
        <f t="shared" si="4"/>
        <v>0</v>
      </c>
      <c r="K20" s="40">
        <f>COUNTIF(Vertices[Betweenness Centrality],"&gt;= "&amp;J20)-COUNTIF(Vertices[Betweenness Centrality],"&gt;="&amp;J21)</f>
        <v>0</v>
      </c>
      <c r="L20" s="39">
        <f t="shared" si="5"/>
        <v>0</v>
      </c>
      <c r="M20" s="40">
        <f>COUNTIF(Vertices[Closeness Centrality],"&gt;= "&amp;L20)-COUNTIF(Vertices[Closeness Centrality],"&gt;="&amp;L21)</f>
        <v>0</v>
      </c>
      <c r="N20" s="39">
        <f t="shared" si="6"/>
        <v>0.071429</v>
      </c>
      <c r="O20" s="40">
        <f>COUNTIF(Vertices[Eigenvector Centrality],"&gt;= "&amp;N20)-COUNTIF(Vertices[Eigenvector Centrality],"&gt;="&amp;N21)</f>
        <v>0</v>
      </c>
      <c r="P20" s="39">
        <f t="shared" si="7"/>
        <v>0.999961</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154</v>
      </c>
      <c r="B21" s="36">
        <v>1</v>
      </c>
      <c r="D21" s="34">
        <f t="shared" si="1"/>
        <v>0</v>
      </c>
      <c r="E21" s="3">
        <f>COUNTIF(Vertices[Degree],"&gt;= "&amp;D21)-COUNTIF(Vertices[Degree],"&gt;="&amp;D22)</f>
        <v>0</v>
      </c>
      <c r="F21" s="41">
        <f t="shared" si="2"/>
        <v>1</v>
      </c>
      <c r="G21" s="42">
        <f>COUNTIF(Vertices[In-Degree],"&gt;= "&amp;F21)-COUNTIF(Vertices[In-Degree],"&gt;="&amp;F22)</f>
        <v>0</v>
      </c>
      <c r="H21" s="41">
        <f t="shared" si="3"/>
        <v>1</v>
      </c>
      <c r="I21" s="42">
        <f>COUNTIF(Vertices[Out-Degree],"&gt;= "&amp;H21)-COUNTIF(Vertices[Out-Degree],"&gt;="&amp;H22)</f>
        <v>0</v>
      </c>
      <c r="J21" s="41">
        <f t="shared" si="4"/>
        <v>0</v>
      </c>
      <c r="K21" s="42">
        <f>COUNTIF(Vertices[Betweenness Centrality],"&gt;= "&amp;J21)-COUNTIF(Vertices[Betweenness Centrality],"&gt;="&amp;J22)</f>
        <v>0</v>
      </c>
      <c r="L21" s="41">
        <f t="shared" si="5"/>
        <v>0</v>
      </c>
      <c r="M21" s="42">
        <f>COUNTIF(Vertices[Closeness Centrality],"&gt;= "&amp;L21)-COUNTIF(Vertices[Closeness Centrality],"&gt;="&amp;L22)</f>
        <v>0</v>
      </c>
      <c r="N21" s="41">
        <f t="shared" si="6"/>
        <v>0.071429</v>
      </c>
      <c r="O21" s="42">
        <f>COUNTIF(Vertices[Eigenvector Centrality],"&gt;= "&amp;N21)-COUNTIF(Vertices[Eigenvector Centrality],"&gt;="&amp;N22)</f>
        <v>0</v>
      </c>
      <c r="P21" s="41">
        <f t="shared" si="7"/>
        <v>0.999961</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155</v>
      </c>
      <c r="B22" s="36">
        <v>2</v>
      </c>
      <c r="D22" s="34">
        <f t="shared" si="1"/>
        <v>0</v>
      </c>
      <c r="E22" s="3">
        <f>COUNTIF(Vertices[Degree],"&gt;= "&amp;D22)-COUNTIF(Vertices[Degree],"&gt;="&amp;D23)</f>
        <v>0</v>
      </c>
      <c r="F22" s="39">
        <f t="shared" si="2"/>
        <v>1</v>
      </c>
      <c r="G22" s="40">
        <f>COUNTIF(Vertices[In-Degree],"&gt;= "&amp;F22)-COUNTIF(Vertices[In-Degree],"&gt;="&amp;F23)</f>
        <v>0</v>
      </c>
      <c r="H22" s="39">
        <f t="shared" si="3"/>
        <v>1</v>
      </c>
      <c r="I22" s="40">
        <f>COUNTIF(Vertices[Out-Degree],"&gt;= "&amp;H22)-COUNTIF(Vertices[Out-Degree],"&gt;="&amp;H23)</f>
        <v>0</v>
      </c>
      <c r="J22" s="39">
        <f t="shared" si="4"/>
        <v>0</v>
      </c>
      <c r="K22" s="40">
        <f>COUNTIF(Vertices[Betweenness Centrality],"&gt;= "&amp;J22)-COUNTIF(Vertices[Betweenness Centrality],"&gt;="&amp;J23)</f>
        <v>0</v>
      </c>
      <c r="L22" s="39">
        <f t="shared" si="5"/>
        <v>0</v>
      </c>
      <c r="M22" s="40">
        <f>COUNTIF(Vertices[Closeness Centrality],"&gt;= "&amp;L22)-COUNTIF(Vertices[Closeness Centrality],"&gt;="&amp;L23)</f>
        <v>0</v>
      </c>
      <c r="N22" s="39">
        <f t="shared" si="6"/>
        <v>0.071429</v>
      </c>
      <c r="O22" s="40">
        <f>COUNTIF(Vertices[Eigenvector Centrality],"&gt;= "&amp;N22)-COUNTIF(Vertices[Eigenvector Centrality],"&gt;="&amp;N23)</f>
        <v>0</v>
      </c>
      <c r="P22" s="39">
        <f t="shared" si="7"/>
        <v>0.999961</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121"/>
      <c r="B23" s="121"/>
      <c r="D23" s="34">
        <f t="shared" si="1"/>
        <v>0</v>
      </c>
      <c r="E23" s="3">
        <f>COUNTIF(Vertices[Degree],"&gt;= "&amp;D23)-COUNTIF(Vertices[Degree],"&gt;="&amp;D24)</f>
        <v>0</v>
      </c>
      <c r="F23" s="41">
        <f t="shared" si="2"/>
        <v>1</v>
      </c>
      <c r="G23" s="42">
        <f>COUNTIF(Vertices[In-Degree],"&gt;= "&amp;F23)-COUNTIF(Vertices[In-Degree],"&gt;="&amp;F24)</f>
        <v>0</v>
      </c>
      <c r="H23" s="41">
        <f t="shared" si="3"/>
        <v>1</v>
      </c>
      <c r="I23" s="42">
        <f>COUNTIF(Vertices[Out-Degree],"&gt;= "&amp;H23)-COUNTIF(Vertices[Out-Degree],"&gt;="&amp;H24)</f>
        <v>0</v>
      </c>
      <c r="J23" s="41">
        <f t="shared" si="4"/>
        <v>0</v>
      </c>
      <c r="K23" s="42">
        <f>COUNTIF(Vertices[Betweenness Centrality],"&gt;= "&amp;J23)-COUNTIF(Vertices[Betweenness Centrality],"&gt;="&amp;J24)</f>
        <v>0</v>
      </c>
      <c r="L23" s="41">
        <f t="shared" si="5"/>
        <v>0</v>
      </c>
      <c r="M23" s="42">
        <f>COUNTIF(Vertices[Closeness Centrality],"&gt;= "&amp;L23)-COUNTIF(Vertices[Closeness Centrality],"&gt;="&amp;L24)</f>
        <v>0</v>
      </c>
      <c r="N23" s="41">
        <f t="shared" si="6"/>
        <v>0.071429</v>
      </c>
      <c r="O23" s="42">
        <f>COUNTIF(Vertices[Eigenvector Centrality],"&gt;= "&amp;N23)-COUNTIF(Vertices[Eigenvector Centrality],"&gt;="&amp;N24)</f>
        <v>0</v>
      </c>
      <c r="P23" s="41">
        <f t="shared" si="7"/>
        <v>0.999961</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156</v>
      </c>
      <c r="B24" s="36">
        <v>0</v>
      </c>
      <c r="D24" s="34">
        <f t="shared" si="1"/>
        <v>0</v>
      </c>
      <c r="E24" s="3">
        <f>COUNTIF(Vertices[Degree],"&gt;= "&amp;D24)-COUNTIF(Vertices[Degree],"&gt;="&amp;D25)</f>
        <v>0</v>
      </c>
      <c r="F24" s="39">
        <f t="shared" si="2"/>
        <v>1</v>
      </c>
      <c r="G24" s="40">
        <f>COUNTIF(Vertices[In-Degree],"&gt;= "&amp;F24)-COUNTIF(Vertices[In-Degree],"&gt;="&amp;F25)</f>
        <v>0</v>
      </c>
      <c r="H24" s="39">
        <f t="shared" si="3"/>
        <v>1</v>
      </c>
      <c r="I24" s="40">
        <f>COUNTIF(Vertices[Out-Degree],"&gt;= "&amp;H24)-COUNTIF(Vertices[Out-Degree],"&gt;="&amp;H25)</f>
        <v>0</v>
      </c>
      <c r="J24" s="39">
        <f t="shared" si="4"/>
        <v>0</v>
      </c>
      <c r="K24" s="40">
        <f>COUNTIF(Vertices[Betweenness Centrality],"&gt;= "&amp;J24)-COUNTIF(Vertices[Betweenness Centrality],"&gt;="&amp;J25)</f>
        <v>0</v>
      </c>
      <c r="L24" s="39">
        <f t="shared" si="5"/>
        <v>0</v>
      </c>
      <c r="M24" s="40">
        <f>COUNTIF(Vertices[Closeness Centrality],"&gt;= "&amp;L24)-COUNTIF(Vertices[Closeness Centrality],"&gt;="&amp;L25)</f>
        <v>0</v>
      </c>
      <c r="N24" s="39">
        <f t="shared" si="6"/>
        <v>0.071429</v>
      </c>
      <c r="O24" s="40">
        <f>COUNTIF(Vertices[Eigenvector Centrality],"&gt;= "&amp;N24)-COUNTIF(Vertices[Eigenvector Centrality],"&gt;="&amp;N25)</f>
        <v>0</v>
      </c>
      <c r="P24" s="39">
        <f t="shared" si="7"/>
        <v>0.999961</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157</v>
      </c>
      <c r="B25" s="36">
        <v>0</v>
      </c>
      <c r="D25" s="34">
        <f t="shared" si="1"/>
        <v>0</v>
      </c>
      <c r="E25" s="3">
        <f>COUNTIF(Vertices[Degree],"&gt;= "&amp;D25)-COUNTIF(Vertices[Degree],"&gt;="&amp;D26)</f>
        <v>0</v>
      </c>
      <c r="F25" s="41">
        <f t="shared" si="2"/>
        <v>1</v>
      </c>
      <c r="G25" s="42">
        <f>COUNTIF(Vertices[In-Degree],"&gt;= "&amp;F25)-COUNTIF(Vertices[In-Degree],"&gt;="&amp;F26)</f>
        <v>0</v>
      </c>
      <c r="H25" s="41">
        <f t="shared" si="3"/>
        <v>1</v>
      </c>
      <c r="I25" s="42">
        <f>COUNTIF(Vertices[Out-Degree],"&gt;= "&amp;H25)-COUNTIF(Vertices[Out-Degree],"&gt;="&amp;H26)</f>
        <v>0</v>
      </c>
      <c r="J25" s="41">
        <f t="shared" si="4"/>
        <v>0</v>
      </c>
      <c r="K25" s="42">
        <f>COUNTIF(Vertices[Betweenness Centrality],"&gt;= "&amp;J25)-COUNTIF(Vertices[Betweenness Centrality],"&gt;="&amp;J26)</f>
        <v>0</v>
      </c>
      <c r="L25" s="41">
        <f t="shared" si="5"/>
        <v>0</v>
      </c>
      <c r="M25" s="42">
        <f>COUNTIF(Vertices[Closeness Centrality],"&gt;= "&amp;L25)-COUNTIF(Vertices[Closeness Centrality],"&gt;="&amp;L26)</f>
        <v>0</v>
      </c>
      <c r="N25" s="41">
        <f t="shared" si="6"/>
        <v>0.071429</v>
      </c>
      <c r="O25" s="42">
        <f>COUNTIF(Vertices[Eigenvector Centrality],"&gt;= "&amp;N25)-COUNTIF(Vertices[Eigenvector Centrality],"&gt;="&amp;N26)</f>
        <v>0</v>
      </c>
      <c r="P25" s="41">
        <f t="shared" si="7"/>
        <v>0.999961</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121"/>
      <c r="B26" s="121"/>
      <c r="D26" s="34">
        <f t="shared" si="1"/>
        <v>0</v>
      </c>
      <c r="E26" s="3">
        <f>COUNTIF(Vertices[Degree],"&gt;= "&amp;D26)-COUNTIF(Vertices[Degree],"&gt;="&amp;D28)</f>
        <v>0</v>
      </c>
      <c r="F26" s="39">
        <f t="shared" si="2"/>
        <v>1</v>
      </c>
      <c r="G26" s="40">
        <f>COUNTIF(Vertices[In-Degree],"&gt;= "&amp;F26)-COUNTIF(Vertices[In-Degree],"&gt;="&amp;F28)</f>
        <v>0</v>
      </c>
      <c r="H26" s="39">
        <f t="shared" si="3"/>
        <v>1</v>
      </c>
      <c r="I26" s="40">
        <f>COUNTIF(Vertices[Out-Degree],"&gt;= "&amp;H26)-COUNTIF(Vertices[Out-Degree],"&gt;="&amp;H28)</f>
        <v>0</v>
      </c>
      <c r="J26" s="39">
        <f t="shared" si="4"/>
        <v>0</v>
      </c>
      <c r="K26" s="40">
        <f>COUNTIF(Vertices[Betweenness Centrality],"&gt;= "&amp;J26)-COUNTIF(Vertices[Betweenness Centrality],"&gt;="&amp;J28)</f>
        <v>0</v>
      </c>
      <c r="L26" s="39">
        <f t="shared" si="5"/>
        <v>0</v>
      </c>
      <c r="M26" s="40">
        <f>COUNTIF(Vertices[Closeness Centrality],"&gt;= "&amp;L26)-COUNTIF(Vertices[Closeness Centrality],"&gt;="&amp;L28)</f>
        <v>0</v>
      </c>
      <c r="N26" s="39">
        <f t="shared" si="6"/>
        <v>0.071429</v>
      </c>
      <c r="O26" s="40">
        <f>COUNTIF(Vertices[Eigenvector Centrality],"&gt;= "&amp;N26)-COUNTIF(Vertices[Eigenvector Centrality],"&gt;="&amp;N28)</f>
        <v>0</v>
      </c>
      <c r="P26" s="39">
        <f t="shared" si="7"/>
        <v>0.999961</v>
      </c>
      <c r="Q26" s="40">
        <f>COUNTIF(Vertices[PageRank],"&gt;= "&amp;P26)-COUNTIF(Vertices[PageRank],"&gt;="&amp;P28)</f>
        <v>0</v>
      </c>
      <c r="R26" s="39">
        <f t="shared" si="8"/>
        <v>0</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36" t="s">
        <v>158</v>
      </c>
      <c r="B27" s="36">
        <v>0</v>
      </c>
      <c r="D27" s="34"/>
      <c r="E27" s="3">
        <f>COUNTIF(Vertices[Degree],"&gt;= "&amp;D27)-COUNTIF(Vertices[Degree],"&gt;="&amp;D28)</f>
        <v>0</v>
      </c>
      <c r="F27" s="79"/>
      <c r="G27" s="80">
        <f>COUNTIF(Vertices[In-Degree],"&gt;= "&amp;F27)-COUNTIF(Vertices[In-Degree],"&gt;="&amp;F28)</f>
        <v>-14</v>
      </c>
      <c r="H27" s="79"/>
      <c r="I27" s="80">
        <f>COUNTIF(Vertices[Out-Degree],"&gt;= "&amp;H27)-COUNTIF(Vertices[Out-Degree],"&gt;="&amp;H28)</f>
        <v>-14</v>
      </c>
      <c r="J27" s="79"/>
      <c r="K27" s="80">
        <f>COUNTIF(Vertices[Betweenness Centrality],"&gt;= "&amp;J27)-COUNTIF(Vertices[Betweenness Centrality],"&gt;="&amp;J28)</f>
        <v>-14</v>
      </c>
      <c r="L27" s="79"/>
      <c r="M27" s="80">
        <f>COUNTIF(Vertices[Closeness Centrality],"&gt;= "&amp;L27)-COUNTIF(Vertices[Closeness Centrality],"&gt;="&amp;L28)</f>
        <v>-14</v>
      </c>
      <c r="N27" s="79"/>
      <c r="O27" s="80">
        <f>COUNTIF(Vertices[Eigenvector Centrality],"&gt;= "&amp;N27)-COUNTIF(Vertices[Eigenvector Centrality],"&gt;="&amp;N28)</f>
        <v>-14</v>
      </c>
      <c r="P27" s="79"/>
      <c r="Q27" s="80">
        <f>COUNTIF(Vertices[Eigenvector Centrality],"&gt;= "&amp;P27)-COUNTIF(Vertices[Eigenvector Centrality],"&gt;="&amp;P28)</f>
        <v>0</v>
      </c>
      <c r="R27" s="79"/>
      <c r="S27" s="81">
        <f>COUNTIF(Vertices[Clustering Coefficient],"&gt;= "&amp;R27)-COUNTIF(Vertices[Clustering Coefficient],"&gt;="&amp;R28)</f>
        <v>-14</v>
      </c>
      <c r="T27" s="79"/>
      <c r="U27" s="80">
        <f ca="1">COUNTIF(Vertices[Clustering Coefficient],"&gt;= "&amp;T27)-COUNTIF(Vertices[Clustering Coefficient],"&gt;="&amp;T28)</f>
        <v>0</v>
      </c>
    </row>
    <row r="28" spans="1:21" ht="15">
      <c r="A28" s="36" t="s">
        <v>475</v>
      </c>
      <c r="B28" s="36">
        <v>0.237654</v>
      </c>
      <c r="D28" s="34">
        <f>D26+($D$57-$D$2)/BinDivisor</f>
        <v>0</v>
      </c>
      <c r="E28" s="3">
        <f>COUNTIF(Vertices[Degree],"&gt;= "&amp;D28)-COUNTIF(Vertices[Degree],"&gt;="&amp;D40)</f>
        <v>0</v>
      </c>
      <c r="F28" s="41">
        <f>F26+($F$57-$F$2)/BinDivisor</f>
        <v>1</v>
      </c>
      <c r="G28" s="42">
        <f>COUNTIF(Vertices[In-Degree],"&gt;= "&amp;F28)-COUNTIF(Vertices[In-Degree],"&gt;="&amp;F40)</f>
        <v>0</v>
      </c>
      <c r="H28" s="41">
        <f>H26+($H$57-$H$2)/BinDivisor</f>
        <v>1</v>
      </c>
      <c r="I28" s="42">
        <f>COUNTIF(Vertices[Out-Degree],"&gt;= "&amp;H28)-COUNTIF(Vertices[Out-Degree],"&gt;="&amp;H40)</f>
        <v>0</v>
      </c>
      <c r="J28" s="41">
        <f>J26+($J$57-$J$2)/BinDivisor</f>
        <v>0</v>
      </c>
      <c r="K28" s="42">
        <f>COUNTIF(Vertices[Betweenness Centrality],"&gt;= "&amp;J28)-COUNTIF(Vertices[Betweenness Centrality],"&gt;="&amp;J40)</f>
        <v>0</v>
      </c>
      <c r="L28" s="41">
        <f>L26+($L$57-$L$2)/BinDivisor</f>
        <v>0</v>
      </c>
      <c r="M28" s="42">
        <f>COUNTIF(Vertices[Closeness Centrality],"&gt;= "&amp;L28)-COUNTIF(Vertices[Closeness Centrality],"&gt;="&amp;L40)</f>
        <v>0</v>
      </c>
      <c r="N28" s="41">
        <f>N26+($N$57-$N$2)/BinDivisor</f>
        <v>0.071429</v>
      </c>
      <c r="O28" s="42">
        <f>COUNTIF(Vertices[Eigenvector Centrality],"&gt;= "&amp;N28)-COUNTIF(Vertices[Eigenvector Centrality],"&gt;="&amp;N40)</f>
        <v>0</v>
      </c>
      <c r="P28" s="41">
        <f>P26+($P$57-$P$2)/BinDivisor</f>
        <v>0.999961</v>
      </c>
      <c r="Q28" s="42">
        <f>COUNTIF(Vertices[PageRank],"&gt;= "&amp;P28)-COUNTIF(Vertices[PageRank],"&gt;="&amp;P40)</f>
        <v>0</v>
      </c>
      <c r="R28" s="41">
        <f>R26+($R$57-$R$2)/BinDivisor</f>
        <v>0</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1:21" ht="15">
      <c r="A29" s="121"/>
      <c r="B29" s="121"/>
      <c r="D29" s="34"/>
      <c r="E29" s="3">
        <f>COUNTIF(Vertices[Degree],"&gt;= "&amp;D29)-COUNTIF(Vertices[Degree],"&gt;="&amp;D30)</f>
        <v>0</v>
      </c>
      <c r="F29" s="79"/>
      <c r="G29" s="80">
        <f>COUNTIF(Vertices[In-Degree],"&gt;= "&amp;F29)-COUNTIF(Vertices[In-Degree],"&gt;="&amp;F30)</f>
        <v>0</v>
      </c>
      <c r="H29" s="79"/>
      <c r="I29" s="80">
        <f>COUNTIF(Vertices[Out-Degree],"&gt;= "&amp;H29)-COUNTIF(Vertices[Out-Degree],"&gt;="&amp;H30)</f>
        <v>0</v>
      </c>
      <c r="J29" s="79"/>
      <c r="K29" s="80">
        <f>COUNTIF(Vertices[Betweenness Centrality],"&gt;= "&amp;J29)-COUNTIF(Vertices[Betweenness Centrality],"&gt;="&amp;J30)</f>
        <v>0</v>
      </c>
      <c r="L29" s="79"/>
      <c r="M29" s="80">
        <f>COUNTIF(Vertices[Closeness Centrality],"&gt;= "&amp;L29)-COUNTIF(Vertices[Closeness Centrality],"&gt;="&amp;L30)</f>
        <v>0</v>
      </c>
      <c r="N29" s="79"/>
      <c r="O29" s="80">
        <f>COUNTIF(Vertices[Eigenvector Centrality],"&gt;= "&amp;N29)-COUNTIF(Vertices[Eigenvector Centrality],"&gt;="&amp;N30)</f>
        <v>0</v>
      </c>
      <c r="P29" s="79"/>
      <c r="Q29" s="80">
        <f>COUNTIF(Vertices[Eigenvector Centrality],"&gt;= "&amp;P29)-COUNTIF(Vertices[Eigenvector Centrality],"&gt;="&amp;P30)</f>
        <v>0</v>
      </c>
      <c r="R29" s="79"/>
      <c r="S29" s="81">
        <f>COUNTIF(Vertices[Clustering Coefficient],"&gt;= "&amp;R29)-COUNTIF(Vertices[Clustering Coefficient],"&gt;="&amp;R30)</f>
        <v>0</v>
      </c>
      <c r="T29" s="79"/>
      <c r="U29" s="80">
        <f>COUNTIF(Vertices[Clustering Coefficient],"&gt;= "&amp;T29)-COUNTIF(Vertices[Clustering Coefficient],"&gt;="&amp;T30)</f>
        <v>0</v>
      </c>
    </row>
    <row r="30" spans="1:21" ht="15">
      <c r="A30" s="36" t="s">
        <v>476</v>
      </c>
      <c r="B30" s="36" t="s">
        <v>478</v>
      </c>
      <c r="D30" s="34"/>
      <c r="E30" s="3">
        <f>COUNTIF(Vertices[Degree],"&gt;= "&amp;D30)-COUNTIF(Vertices[Degree],"&gt;="&amp;D31)</f>
        <v>0</v>
      </c>
      <c r="F30" s="79"/>
      <c r="G30" s="80">
        <f>COUNTIF(Vertices[In-Degree],"&gt;= "&amp;F30)-COUNTIF(Vertices[In-Degree],"&gt;="&amp;F31)</f>
        <v>0</v>
      </c>
      <c r="H30" s="79"/>
      <c r="I30" s="80">
        <f>COUNTIF(Vertices[Out-Degree],"&gt;= "&amp;H30)-COUNTIF(Vertices[Out-Degree],"&gt;="&amp;H31)</f>
        <v>0</v>
      </c>
      <c r="J30" s="79"/>
      <c r="K30" s="80">
        <f>COUNTIF(Vertices[Betweenness Centrality],"&gt;= "&amp;J30)-COUNTIF(Vertices[Betweenness Centrality],"&gt;="&amp;J31)</f>
        <v>0</v>
      </c>
      <c r="L30" s="79"/>
      <c r="M30" s="80">
        <f>COUNTIF(Vertices[Closeness Centrality],"&gt;= "&amp;L30)-COUNTIF(Vertices[Closeness Centrality],"&gt;="&amp;L31)</f>
        <v>0</v>
      </c>
      <c r="N30" s="79"/>
      <c r="O30" s="80">
        <f>COUNTIF(Vertices[Eigenvector Centrality],"&gt;= "&amp;N30)-COUNTIF(Vertices[Eigenvector Centrality],"&gt;="&amp;N31)</f>
        <v>0</v>
      </c>
      <c r="P30" s="79"/>
      <c r="Q30" s="80">
        <f>COUNTIF(Vertices[Eigenvector Centrality],"&gt;= "&amp;P30)-COUNTIF(Vertices[Eigenvector Centrality],"&gt;="&amp;P31)</f>
        <v>0</v>
      </c>
      <c r="R30" s="79"/>
      <c r="S30" s="81">
        <f>COUNTIF(Vertices[Clustering Coefficient],"&gt;= "&amp;R30)-COUNTIF(Vertices[Clustering Coefficient],"&gt;="&amp;R31)</f>
        <v>0</v>
      </c>
      <c r="T30" s="79"/>
      <c r="U30" s="80">
        <f>COUNTIF(Vertices[Clustering Coefficient],"&gt;= "&amp;T30)-COUNTIF(Vertices[Clustering Coefficient],"&gt;="&amp;T31)</f>
        <v>0</v>
      </c>
    </row>
    <row r="31" spans="4:21" ht="15">
      <c r="D31" s="34"/>
      <c r="E31" s="3">
        <f>COUNTIF(Vertices[Degree],"&gt;= "&amp;D31)-COUNTIF(Vertices[Degree],"&gt;="&amp;D32)</f>
        <v>0</v>
      </c>
      <c r="F31" s="79"/>
      <c r="G31" s="80">
        <f>COUNTIF(Vertices[In-Degree],"&gt;= "&amp;F31)-COUNTIF(Vertices[In-Degree],"&gt;="&amp;F32)</f>
        <v>0</v>
      </c>
      <c r="H31" s="79"/>
      <c r="I31" s="80">
        <f>COUNTIF(Vertices[Out-Degree],"&gt;= "&amp;H31)-COUNTIF(Vertices[Out-Degree],"&gt;="&amp;H32)</f>
        <v>0</v>
      </c>
      <c r="J31" s="79"/>
      <c r="K31" s="80">
        <f>COUNTIF(Vertices[Betweenness Centrality],"&gt;= "&amp;J31)-COUNTIF(Vertices[Betweenness Centrality],"&gt;="&amp;J32)</f>
        <v>0</v>
      </c>
      <c r="L31" s="79"/>
      <c r="M31" s="80">
        <f>COUNTIF(Vertices[Closeness Centrality],"&gt;= "&amp;L31)-COUNTIF(Vertices[Closeness Centrality],"&gt;="&amp;L32)</f>
        <v>0</v>
      </c>
      <c r="N31" s="79"/>
      <c r="O31" s="80">
        <f>COUNTIF(Vertices[Eigenvector Centrality],"&gt;= "&amp;N31)-COUNTIF(Vertices[Eigenvector Centrality],"&gt;="&amp;N32)</f>
        <v>0</v>
      </c>
      <c r="P31" s="79"/>
      <c r="Q31" s="80">
        <f>COUNTIF(Vertices[Eigenvector Centrality],"&gt;= "&amp;P31)-COUNTIF(Vertices[Eigenvector Centrality],"&gt;="&amp;P32)</f>
        <v>0</v>
      </c>
      <c r="R31" s="79"/>
      <c r="S31" s="81">
        <f>COUNTIF(Vertices[Clustering Coefficient],"&gt;= "&amp;R31)-COUNTIF(Vertices[Clustering Coefficient],"&gt;="&amp;R32)</f>
        <v>0</v>
      </c>
      <c r="T31" s="79"/>
      <c r="U31" s="80">
        <f>COUNTIF(Vertices[Clustering Coefficient],"&gt;= "&amp;T31)-COUNTIF(Vertices[Clustering Coefficient],"&gt;="&amp;T32)</f>
        <v>0</v>
      </c>
    </row>
    <row r="32" spans="4:21" ht="15">
      <c r="D32" s="34"/>
      <c r="E32" s="3">
        <f>COUNTIF(Vertices[Degree],"&gt;= "&amp;D32)-COUNTIF(Vertices[Degree],"&gt;="&amp;D33)</f>
        <v>0</v>
      </c>
      <c r="F32" s="79"/>
      <c r="G32" s="80">
        <f>COUNTIF(Vertices[In-Degree],"&gt;= "&amp;F32)-COUNTIF(Vertices[In-Degree],"&gt;="&amp;F33)</f>
        <v>0</v>
      </c>
      <c r="H32" s="79"/>
      <c r="I32" s="80">
        <f>COUNTIF(Vertices[Out-Degree],"&gt;= "&amp;H32)-COUNTIF(Vertices[Out-Degree],"&gt;="&amp;H33)</f>
        <v>0</v>
      </c>
      <c r="J32" s="79"/>
      <c r="K32" s="80">
        <f>COUNTIF(Vertices[Betweenness Centrality],"&gt;= "&amp;J32)-COUNTIF(Vertices[Betweenness Centrality],"&gt;="&amp;J33)</f>
        <v>0</v>
      </c>
      <c r="L32" s="79"/>
      <c r="M32" s="80">
        <f>COUNTIF(Vertices[Closeness Centrality],"&gt;= "&amp;L32)-COUNTIF(Vertices[Closeness Centrality],"&gt;="&amp;L33)</f>
        <v>0</v>
      </c>
      <c r="N32" s="79"/>
      <c r="O32" s="80">
        <f>COUNTIF(Vertices[Eigenvector Centrality],"&gt;= "&amp;N32)-COUNTIF(Vertices[Eigenvector Centrality],"&gt;="&amp;N33)</f>
        <v>0</v>
      </c>
      <c r="P32" s="79"/>
      <c r="Q32" s="80">
        <f>COUNTIF(Vertices[Eigenvector Centrality],"&gt;= "&amp;P32)-COUNTIF(Vertices[Eigenvector Centrality],"&gt;="&amp;P33)</f>
        <v>0</v>
      </c>
      <c r="R32" s="79"/>
      <c r="S32" s="81">
        <f>COUNTIF(Vertices[Clustering Coefficient],"&gt;= "&amp;R32)-COUNTIF(Vertices[Clustering Coefficient],"&gt;="&amp;R33)</f>
        <v>0</v>
      </c>
      <c r="T32" s="79"/>
      <c r="U32" s="80">
        <f>COUNTIF(Vertices[Clustering Coefficient],"&gt;= "&amp;T32)-COUNTIF(Vertices[Clustering Coefficient],"&gt;="&amp;T33)</f>
        <v>0</v>
      </c>
    </row>
    <row r="33" spans="4:21" ht="15">
      <c r="D33" s="34"/>
      <c r="E33" s="3">
        <f>COUNTIF(Vertices[Degree],"&gt;= "&amp;D33)-COUNTIF(Vertices[Degree],"&gt;="&amp;D38)</f>
        <v>0</v>
      </c>
      <c r="F33" s="79"/>
      <c r="G33" s="80">
        <f>COUNTIF(Vertices[In-Degree],"&gt;= "&amp;F33)-COUNTIF(Vertices[In-Degree],"&gt;="&amp;F38)</f>
        <v>0</v>
      </c>
      <c r="H33" s="79"/>
      <c r="I33" s="80">
        <f>COUNTIF(Vertices[Out-Degree],"&gt;= "&amp;H33)-COUNTIF(Vertices[Out-Degree],"&gt;="&amp;H38)</f>
        <v>0</v>
      </c>
      <c r="J33" s="79"/>
      <c r="K33" s="80">
        <f>COUNTIF(Vertices[Betweenness Centrality],"&gt;= "&amp;J33)-COUNTIF(Vertices[Betweenness Centrality],"&gt;="&amp;J38)</f>
        <v>0</v>
      </c>
      <c r="L33" s="79"/>
      <c r="M33" s="80">
        <f>COUNTIF(Vertices[Closeness Centrality],"&gt;= "&amp;L33)-COUNTIF(Vertices[Closeness Centrality],"&gt;="&amp;L38)</f>
        <v>0</v>
      </c>
      <c r="N33" s="79"/>
      <c r="O33" s="80">
        <f>COUNTIF(Vertices[Eigenvector Centrality],"&gt;= "&amp;N33)-COUNTIF(Vertices[Eigenvector Centrality],"&gt;="&amp;N38)</f>
        <v>0</v>
      </c>
      <c r="P33" s="79"/>
      <c r="Q33" s="80">
        <f>COUNTIF(Vertices[Eigenvector Centrality],"&gt;= "&amp;P33)-COUNTIF(Vertices[Eigenvector Centrality],"&gt;="&amp;P38)</f>
        <v>0</v>
      </c>
      <c r="R33" s="79"/>
      <c r="S33" s="81">
        <f>COUNTIF(Vertices[Clustering Coefficient],"&gt;= "&amp;R33)-COUNTIF(Vertices[Clustering Coefficient],"&gt;="&amp;R38)</f>
        <v>0</v>
      </c>
      <c r="T33" s="79"/>
      <c r="U33" s="80">
        <f>COUNTIF(Vertices[Clustering Coefficient],"&gt;= "&amp;T33)-COUNTIF(Vertices[Clustering Coefficient],"&gt;="&amp;T38)</f>
        <v>0</v>
      </c>
    </row>
    <row r="34" spans="4:21" ht="15">
      <c r="D34" s="34"/>
      <c r="E34" s="3">
        <f>COUNTIF(Vertices[Degree],"&gt;= "&amp;D34)-COUNTIF(Vertices[Degree],"&gt;="&amp;D35)</f>
        <v>0</v>
      </c>
      <c r="F34" s="79"/>
      <c r="G34" s="80">
        <f>COUNTIF(Vertices[In-Degree],"&gt;= "&amp;F34)-COUNTIF(Vertices[In-Degree],"&gt;="&amp;F35)</f>
        <v>0</v>
      </c>
      <c r="H34" s="79"/>
      <c r="I34" s="80">
        <f>COUNTIF(Vertices[Out-Degree],"&gt;= "&amp;H34)-COUNTIF(Vertices[Out-Degree],"&gt;="&amp;H35)</f>
        <v>0</v>
      </c>
      <c r="J34" s="79"/>
      <c r="K34" s="80">
        <f>COUNTIF(Vertices[Betweenness Centrality],"&gt;= "&amp;J34)-COUNTIF(Vertices[Betweenness Centrality],"&gt;="&amp;J35)</f>
        <v>0</v>
      </c>
      <c r="L34" s="79"/>
      <c r="M34" s="80">
        <f>COUNTIF(Vertices[Closeness Centrality],"&gt;= "&amp;L34)-COUNTIF(Vertices[Closeness Centrality],"&gt;="&amp;L35)</f>
        <v>0</v>
      </c>
      <c r="N34" s="79"/>
      <c r="O34" s="80">
        <f>COUNTIF(Vertices[Eigenvector Centrality],"&gt;= "&amp;N34)-COUNTIF(Vertices[Eigenvector Centrality],"&gt;="&amp;N35)</f>
        <v>0</v>
      </c>
      <c r="P34" s="79"/>
      <c r="Q34" s="80">
        <f>COUNTIF(Vertices[Eigenvector Centrality],"&gt;= "&amp;P34)-COUNTIF(Vertices[Eigenvector Centrality],"&gt;="&amp;P35)</f>
        <v>0</v>
      </c>
      <c r="R34" s="79"/>
      <c r="S34" s="81">
        <f>COUNTIF(Vertices[Clustering Coefficient],"&gt;= "&amp;R34)-COUNTIF(Vertices[Clustering Coefficient],"&gt;="&amp;R35)</f>
        <v>0</v>
      </c>
      <c r="T34" s="79"/>
      <c r="U34" s="80">
        <f>COUNTIF(Vertices[Clustering Coefficient],"&gt;= "&amp;T34)-COUNTIF(Vertices[Clustering Coefficient],"&gt;="&amp;T35)</f>
        <v>0</v>
      </c>
    </row>
    <row r="35" spans="4:21" ht="15">
      <c r="D35" s="34"/>
      <c r="E35" s="3">
        <f>COUNTIF(Vertices[Degree],"&gt;= "&amp;D35)-COUNTIF(Vertices[Degree],"&gt;="&amp;D36)</f>
        <v>0</v>
      </c>
      <c r="F35" s="79"/>
      <c r="G35" s="80">
        <f>COUNTIF(Vertices[In-Degree],"&gt;= "&amp;F35)-COUNTIF(Vertices[In-Degree],"&gt;="&amp;F36)</f>
        <v>0</v>
      </c>
      <c r="H35" s="79"/>
      <c r="I35" s="80">
        <f>COUNTIF(Vertices[Out-Degree],"&gt;= "&amp;H35)-COUNTIF(Vertices[Out-Degree],"&gt;="&amp;H36)</f>
        <v>0</v>
      </c>
      <c r="J35" s="79"/>
      <c r="K35" s="80">
        <f>COUNTIF(Vertices[Betweenness Centrality],"&gt;= "&amp;J35)-COUNTIF(Vertices[Betweenness Centrality],"&gt;="&amp;J36)</f>
        <v>0</v>
      </c>
      <c r="L35" s="79"/>
      <c r="M35" s="80">
        <f>COUNTIF(Vertices[Closeness Centrality],"&gt;= "&amp;L35)-COUNTIF(Vertices[Closeness Centrality],"&gt;="&amp;L36)</f>
        <v>0</v>
      </c>
      <c r="N35" s="79"/>
      <c r="O35" s="80">
        <f>COUNTIF(Vertices[Eigenvector Centrality],"&gt;= "&amp;N35)-COUNTIF(Vertices[Eigenvector Centrality],"&gt;="&amp;N36)</f>
        <v>0</v>
      </c>
      <c r="P35" s="79"/>
      <c r="Q35" s="80">
        <f>COUNTIF(Vertices[Eigenvector Centrality],"&gt;= "&amp;P35)-COUNTIF(Vertices[Eigenvector Centrality],"&gt;="&amp;P36)</f>
        <v>0</v>
      </c>
      <c r="R35" s="79"/>
      <c r="S35" s="81">
        <f>COUNTIF(Vertices[Clustering Coefficient],"&gt;= "&amp;R35)-COUNTIF(Vertices[Clustering Coefficient],"&gt;="&amp;R36)</f>
        <v>0</v>
      </c>
      <c r="T35" s="79"/>
      <c r="U35" s="80">
        <f>COUNTIF(Vertices[Clustering Coefficient],"&gt;= "&amp;T35)-COUNTIF(Vertices[Clustering Coefficient],"&gt;="&amp;T36)</f>
        <v>0</v>
      </c>
    </row>
    <row r="36" spans="4:21" ht="15">
      <c r="D36" s="34"/>
      <c r="E36" s="3">
        <f>COUNTIF(Vertices[Degree],"&gt;= "&amp;D36)-COUNTIF(Vertices[Degree],"&gt;="&amp;D37)</f>
        <v>0</v>
      </c>
      <c r="F36" s="79"/>
      <c r="G36" s="80">
        <f>COUNTIF(Vertices[In-Degree],"&gt;= "&amp;F36)-COUNTIF(Vertices[In-Degree],"&gt;="&amp;F37)</f>
        <v>0</v>
      </c>
      <c r="H36" s="79"/>
      <c r="I36" s="80">
        <f>COUNTIF(Vertices[Out-Degree],"&gt;= "&amp;H36)-COUNTIF(Vertices[Out-Degree],"&gt;="&amp;H37)</f>
        <v>0</v>
      </c>
      <c r="J36" s="79"/>
      <c r="K36" s="80">
        <f>COUNTIF(Vertices[Betweenness Centrality],"&gt;= "&amp;J36)-COUNTIF(Vertices[Betweenness Centrality],"&gt;="&amp;J37)</f>
        <v>0</v>
      </c>
      <c r="L36" s="79"/>
      <c r="M36" s="80">
        <f>COUNTIF(Vertices[Closeness Centrality],"&gt;= "&amp;L36)-COUNTIF(Vertices[Closeness Centrality],"&gt;="&amp;L37)</f>
        <v>0</v>
      </c>
      <c r="N36" s="79"/>
      <c r="O36" s="80">
        <f>COUNTIF(Vertices[Eigenvector Centrality],"&gt;= "&amp;N36)-COUNTIF(Vertices[Eigenvector Centrality],"&gt;="&amp;N37)</f>
        <v>0</v>
      </c>
      <c r="P36" s="79"/>
      <c r="Q36" s="80">
        <f>COUNTIF(Vertices[Eigenvector Centrality],"&gt;= "&amp;P36)-COUNTIF(Vertices[Eigenvector Centrality],"&gt;="&amp;P37)</f>
        <v>0</v>
      </c>
      <c r="R36" s="79"/>
      <c r="S36" s="81">
        <f>COUNTIF(Vertices[Clustering Coefficient],"&gt;= "&amp;R36)-COUNTIF(Vertices[Clustering Coefficient],"&gt;="&amp;R37)</f>
        <v>0</v>
      </c>
      <c r="T36" s="79"/>
      <c r="U36" s="80">
        <f>COUNTIF(Vertices[Clustering Coefficient],"&gt;= "&amp;T36)-COUNTIF(Vertices[Clustering Coefficient],"&gt;="&amp;T37)</f>
        <v>0</v>
      </c>
    </row>
    <row r="37" spans="4:21" ht="15">
      <c r="D37" s="34"/>
      <c r="E37" s="3">
        <f>COUNTIF(Vertices[Degree],"&gt;= "&amp;D37)-COUNTIF(Vertices[Degree],"&gt;="&amp;D38)</f>
        <v>0</v>
      </c>
      <c r="F37" s="79"/>
      <c r="G37" s="80">
        <f>COUNTIF(Vertices[In-Degree],"&gt;= "&amp;F37)-COUNTIF(Vertices[In-Degree],"&gt;="&amp;F38)</f>
        <v>0</v>
      </c>
      <c r="H37" s="79"/>
      <c r="I37" s="80">
        <f>COUNTIF(Vertices[Out-Degree],"&gt;= "&amp;H37)-COUNTIF(Vertices[Out-Degree],"&gt;="&amp;H38)</f>
        <v>0</v>
      </c>
      <c r="J37" s="79"/>
      <c r="K37" s="80">
        <f>COUNTIF(Vertices[Betweenness Centrality],"&gt;= "&amp;J37)-COUNTIF(Vertices[Betweenness Centrality],"&gt;="&amp;J38)</f>
        <v>0</v>
      </c>
      <c r="L37" s="79"/>
      <c r="M37" s="80">
        <f>COUNTIF(Vertices[Closeness Centrality],"&gt;= "&amp;L37)-COUNTIF(Vertices[Closeness Centrality],"&gt;="&amp;L38)</f>
        <v>0</v>
      </c>
      <c r="N37" s="79"/>
      <c r="O37" s="80">
        <f>COUNTIF(Vertices[Eigenvector Centrality],"&gt;= "&amp;N37)-COUNTIF(Vertices[Eigenvector Centrality],"&gt;="&amp;N38)</f>
        <v>0</v>
      </c>
      <c r="P37" s="79"/>
      <c r="Q37" s="80">
        <f>COUNTIF(Vertices[Eigenvector Centrality],"&gt;= "&amp;P37)-COUNTIF(Vertices[Eigenvector Centrality],"&gt;="&amp;P38)</f>
        <v>0</v>
      </c>
      <c r="R37" s="79"/>
      <c r="S37" s="81">
        <f>COUNTIF(Vertices[Clustering Coefficient],"&gt;= "&amp;R37)-COUNTIF(Vertices[Clustering Coefficient],"&gt;="&amp;R38)</f>
        <v>0</v>
      </c>
      <c r="T37" s="79"/>
      <c r="U37" s="80">
        <f>COUNTIF(Vertices[Clustering Coefficient],"&gt;= "&amp;T37)-COUNTIF(Vertices[Clustering Coefficient],"&gt;="&amp;T38)</f>
        <v>0</v>
      </c>
    </row>
    <row r="38" spans="4:21" ht="15">
      <c r="D38" s="34"/>
      <c r="E38" s="3">
        <f>COUNTIF(Vertices[Degree],"&gt;= "&amp;D38)-COUNTIF(Vertices[Degree],"&gt;="&amp;D40)</f>
        <v>0</v>
      </c>
      <c r="F38" s="79"/>
      <c r="G38" s="80">
        <f>COUNTIF(Vertices[In-Degree],"&gt;= "&amp;F38)-COUNTIF(Vertices[In-Degree],"&gt;="&amp;F40)</f>
        <v>-14</v>
      </c>
      <c r="H38" s="79"/>
      <c r="I38" s="80">
        <f>COUNTIF(Vertices[Out-Degree],"&gt;= "&amp;H38)-COUNTIF(Vertices[Out-Degree],"&gt;="&amp;H40)</f>
        <v>-14</v>
      </c>
      <c r="J38" s="79"/>
      <c r="K38" s="80">
        <f>COUNTIF(Vertices[Betweenness Centrality],"&gt;= "&amp;J38)-COUNTIF(Vertices[Betweenness Centrality],"&gt;="&amp;J40)</f>
        <v>-14</v>
      </c>
      <c r="L38" s="79"/>
      <c r="M38" s="80">
        <f>COUNTIF(Vertices[Closeness Centrality],"&gt;= "&amp;L38)-COUNTIF(Vertices[Closeness Centrality],"&gt;="&amp;L40)</f>
        <v>-14</v>
      </c>
      <c r="N38" s="79"/>
      <c r="O38" s="80">
        <f>COUNTIF(Vertices[Eigenvector Centrality],"&gt;= "&amp;N38)-COUNTIF(Vertices[Eigenvector Centrality],"&gt;="&amp;N40)</f>
        <v>-14</v>
      </c>
      <c r="P38" s="79"/>
      <c r="Q38" s="80">
        <f>COUNTIF(Vertices[Eigenvector Centrality],"&gt;= "&amp;P38)-COUNTIF(Vertices[Eigenvector Centrality],"&gt;="&amp;P40)</f>
        <v>0</v>
      </c>
      <c r="R38" s="79"/>
      <c r="S38" s="81">
        <f>COUNTIF(Vertices[Clustering Coefficient],"&gt;= "&amp;R38)-COUNTIF(Vertices[Clustering Coefficient],"&gt;="&amp;R40)</f>
        <v>-14</v>
      </c>
      <c r="T38" s="79"/>
      <c r="U38" s="80">
        <f ca="1">COUNTIF(Vertices[Clustering Coefficient],"&gt;= "&amp;T38)-COUNTIF(Vertices[Clustering Coefficient],"&gt;="&amp;T40)</f>
        <v>0</v>
      </c>
    </row>
    <row r="39" spans="4:21" ht="15">
      <c r="D39" s="34"/>
      <c r="E39" s="3">
        <f>COUNTIF(Vertices[Degree],"&gt;= "&amp;D39)-COUNTIF(Vertices[Degree],"&gt;="&amp;D40)</f>
        <v>0</v>
      </c>
      <c r="F39" s="79"/>
      <c r="G39" s="80">
        <f>COUNTIF(Vertices[In-Degree],"&gt;= "&amp;F39)-COUNTIF(Vertices[In-Degree],"&gt;="&amp;F40)</f>
        <v>-14</v>
      </c>
      <c r="H39" s="79"/>
      <c r="I39" s="80">
        <f>COUNTIF(Vertices[Out-Degree],"&gt;= "&amp;H39)-COUNTIF(Vertices[Out-Degree],"&gt;="&amp;H40)</f>
        <v>-14</v>
      </c>
      <c r="J39" s="79"/>
      <c r="K39" s="80">
        <f>COUNTIF(Vertices[Betweenness Centrality],"&gt;= "&amp;J39)-COUNTIF(Vertices[Betweenness Centrality],"&gt;="&amp;J40)</f>
        <v>-14</v>
      </c>
      <c r="L39" s="79"/>
      <c r="M39" s="80">
        <f>COUNTIF(Vertices[Closeness Centrality],"&gt;= "&amp;L39)-COUNTIF(Vertices[Closeness Centrality],"&gt;="&amp;L40)</f>
        <v>-14</v>
      </c>
      <c r="N39" s="79"/>
      <c r="O39" s="80">
        <f>COUNTIF(Vertices[Eigenvector Centrality],"&gt;= "&amp;N39)-COUNTIF(Vertices[Eigenvector Centrality],"&gt;="&amp;N40)</f>
        <v>-14</v>
      </c>
      <c r="P39" s="79"/>
      <c r="Q39" s="80">
        <f>COUNTIF(Vertices[Eigenvector Centrality],"&gt;= "&amp;P39)-COUNTIF(Vertices[Eigenvector Centrality],"&gt;="&amp;P40)</f>
        <v>0</v>
      </c>
      <c r="R39" s="79"/>
      <c r="S39" s="81">
        <f>COUNTIF(Vertices[Clustering Coefficient],"&gt;= "&amp;R39)-COUNTIF(Vertices[Clustering Coefficient],"&gt;="&amp;R40)</f>
        <v>-14</v>
      </c>
      <c r="T39" s="79"/>
      <c r="U39" s="80">
        <f ca="1">COUNTIF(Vertices[Clustering Coefficient],"&gt;= "&amp;T39)-COUNTIF(Vertices[Clustering Coefficient],"&gt;="&amp;T40)</f>
        <v>0</v>
      </c>
    </row>
    <row r="40" spans="4:21" ht="15">
      <c r="D40" s="34">
        <f>D28+($D$57-$D$2)/BinDivisor</f>
        <v>0</v>
      </c>
      <c r="E40" s="3">
        <f>COUNTIF(Vertices[Degree],"&gt;= "&amp;D40)-COUNTIF(Vertices[Degree],"&gt;="&amp;D41)</f>
        <v>0</v>
      </c>
      <c r="F40" s="39">
        <f>F28+($F$57-$F$2)/BinDivisor</f>
        <v>1</v>
      </c>
      <c r="G40" s="40">
        <f>COUNTIF(Vertices[In-Degree],"&gt;= "&amp;F40)-COUNTIF(Vertices[In-Degree],"&gt;="&amp;F41)</f>
        <v>0</v>
      </c>
      <c r="H40" s="39">
        <f>H28+($H$57-$H$2)/BinDivisor</f>
        <v>1</v>
      </c>
      <c r="I40" s="40">
        <f>COUNTIF(Vertices[Out-Degree],"&gt;= "&amp;H40)-COUNTIF(Vertices[Out-Degree],"&gt;="&amp;H41)</f>
        <v>0</v>
      </c>
      <c r="J40" s="39">
        <f>J28+($J$57-$J$2)/BinDivisor</f>
        <v>0</v>
      </c>
      <c r="K40" s="40">
        <f>COUNTIF(Vertices[Betweenness Centrality],"&gt;= "&amp;J40)-COUNTIF(Vertices[Betweenness Centrality],"&gt;="&amp;J41)</f>
        <v>0</v>
      </c>
      <c r="L40" s="39">
        <f>L28+($L$57-$L$2)/BinDivisor</f>
        <v>0</v>
      </c>
      <c r="M40" s="40">
        <f>COUNTIF(Vertices[Closeness Centrality],"&gt;= "&amp;L40)-COUNTIF(Vertices[Closeness Centrality],"&gt;="&amp;L41)</f>
        <v>0</v>
      </c>
      <c r="N40" s="39">
        <f>N28+($N$57-$N$2)/BinDivisor</f>
        <v>0.071429</v>
      </c>
      <c r="O40" s="40">
        <f>COUNTIF(Vertices[Eigenvector Centrality],"&gt;= "&amp;N40)-COUNTIF(Vertices[Eigenvector Centrality],"&gt;="&amp;N41)</f>
        <v>0</v>
      </c>
      <c r="P40" s="39">
        <f>P28+($P$57-$P$2)/BinDivisor</f>
        <v>0.999961</v>
      </c>
      <c r="Q40" s="40">
        <f>COUNTIF(Vertices[PageRank],"&gt;= "&amp;P40)-COUNTIF(Vertices[PageRank],"&gt;="&amp;P41)</f>
        <v>0</v>
      </c>
      <c r="R40" s="39">
        <f>R28+($R$57-$R$2)/BinDivisor</f>
        <v>0</v>
      </c>
      <c r="S40" s="45">
        <f>COUNTIF(Vertices[Clustering Coefficient],"&gt;= "&amp;R40)-COUNTIF(Vertices[Clustering Coefficient],"&gt;="&amp;R41)</f>
        <v>0</v>
      </c>
      <c r="T40" s="39" t="e">
        <f ca="1">T28+($T$57-$T$2)/BinDivisor</f>
        <v>#REF!</v>
      </c>
      <c r="U40" s="40" t="e">
        <f ca="1" t="shared" si="0"/>
        <v>#REF!</v>
      </c>
    </row>
    <row r="41" spans="1:21" ht="15">
      <c r="A41" t="s">
        <v>163</v>
      </c>
      <c r="B41" t="s">
        <v>17</v>
      </c>
      <c r="D41" s="34">
        <f aca="true" t="shared" si="10" ref="D41:D56">D40+($D$57-$D$2)/BinDivisor</f>
        <v>0</v>
      </c>
      <c r="E41" s="3">
        <f>COUNTIF(Vertices[Degree],"&gt;= "&amp;D41)-COUNTIF(Vertices[Degree],"&gt;="&amp;D42)</f>
        <v>0</v>
      </c>
      <c r="F41" s="41">
        <f aca="true" t="shared" si="11" ref="F41:F56">F40+($F$57-$F$2)/BinDivisor</f>
        <v>1</v>
      </c>
      <c r="G41" s="42">
        <f>COUNTIF(Vertices[In-Degree],"&gt;= "&amp;F41)-COUNTIF(Vertices[In-Degree],"&gt;="&amp;F42)</f>
        <v>0</v>
      </c>
      <c r="H41" s="41">
        <f aca="true" t="shared" si="12" ref="H41:H56">H40+($H$57-$H$2)/BinDivisor</f>
        <v>1</v>
      </c>
      <c r="I41" s="42">
        <f>COUNTIF(Vertices[Out-Degree],"&gt;= "&amp;H41)-COUNTIF(Vertices[Out-Degree],"&gt;="&amp;H42)</f>
        <v>0</v>
      </c>
      <c r="J41" s="41">
        <f aca="true" t="shared" si="13" ref="J41:J56">J40+($J$57-$J$2)/BinDivisor</f>
        <v>0</v>
      </c>
      <c r="K41" s="42">
        <f>COUNTIF(Vertices[Betweenness Centrality],"&gt;= "&amp;J41)-COUNTIF(Vertices[Betweenness Centrality],"&gt;="&amp;J42)</f>
        <v>0</v>
      </c>
      <c r="L41" s="41">
        <f aca="true" t="shared" si="14" ref="L41:L56">L40+($L$57-$L$2)/BinDivisor</f>
        <v>0</v>
      </c>
      <c r="M41" s="42">
        <f>COUNTIF(Vertices[Closeness Centrality],"&gt;= "&amp;L41)-COUNTIF(Vertices[Closeness Centrality],"&gt;="&amp;L42)</f>
        <v>0</v>
      </c>
      <c r="N41" s="41">
        <f aca="true" t="shared" si="15" ref="N41:N56">N40+($N$57-$N$2)/BinDivisor</f>
        <v>0.071429</v>
      </c>
      <c r="O41" s="42">
        <f>COUNTIF(Vertices[Eigenvector Centrality],"&gt;= "&amp;N41)-COUNTIF(Vertices[Eigenvector Centrality],"&gt;="&amp;N42)</f>
        <v>0</v>
      </c>
      <c r="P41" s="41">
        <f aca="true" t="shared" si="16" ref="P41:P56">P40+($P$57-$P$2)/BinDivisor</f>
        <v>0.999961</v>
      </c>
      <c r="Q41" s="42">
        <f>COUNTIF(Vertices[PageRank],"&gt;= "&amp;P41)-COUNTIF(Vertices[PageRank],"&gt;="&amp;P42)</f>
        <v>0</v>
      </c>
      <c r="R41" s="41">
        <f aca="true" t="shared" si="17" ref="R41:R56">R40+($R$57-$R$2)/BinDivisor</f>
        <v>0</v>
      </c>
      <c r="S41" s="46">
        <f>COUNTIF(Vertices[Clustering Coefficient],"&gt;= "&amp;R41)-COUNTIF(Vertices[Clustering Coefficient],"&gt;="&amp;R42)</f>
        <v>0</v>
      </c>
      <c r="T41" s="41" t="e">
        <f aca="true" t="shared" si="18" ref="T41:T56">T40+($T$57-$T$2)/BinDivisor</f>
        <v>#REF!</v>
      </c>
      <c r="U41" s="42" t="e">
        <f ca="1" t="shared" si="0"/>
        <v>#REF!</v>
      </c>
    </row>
    <row r="42" spans="1:21" ht="15">
      <c r="A42" s="35"/>
      <c r="B42" s="35"/>
      <c r="D42" s="34">
        <f t="shared" si="10"/>
        <v>0</v>
      </c>
      <c r="E42" s="3">
        <f>COUNTIF(Vertices[Degree],"&gt;= "&amp;D42)-COUNTIF(Vertices[Degree],"&gt;="&amp;D43)</f>
        <v>0</v>
      </c>
      <c r="F42" s="39">
        <f t="shared" si="11"/>
        <v>1</v>
      </c>
      <c r="G42" s="40">
        <f>COUNTIF(Vertices[In-Degree],"&gt;= "&amp;F42)-COUNTIF(Vertices[In-Degree],"&gt;="&amp;F43)</f>
        <v>0</v>
      </c>
      <c r="H42" s="39">
        <f t="shared" si="12"/>
        <v>1</v>
      </c>
      <c r="I42" s="40">
        <f>COUNTIF(Vertices[Out-Degree],"&gt;= "&amp;H42)-COUNTIF(Vertices[Out-Degree],"&gt;="&amp;H43)</f>
        <v>0</v>
      </c>
      <c r="J42" s="39">
        <f t="shared" si="13"/>
        <v>0</v>
      </c>
      <c r="K42" s="40">
        <f>COUNTIF(Vertices[Betweenness Centrality],"&gt;= "&amp;J42)-COUNTIF(Vertices[Betweenness Centrality],"&gt;="&amp;J43)</f>
        <v>0</v>
      </c>
      <c r="L42" s="39">
        <f t="shared" si="14"/>
        <v>0</v>
      </c>
      <c r="M42" s="40">
        <f>COUNTIF(Vertices[Closeness Centrality],"&gt;= "&amp;L42)-COUNTIF(Vertices[Closeness Centrality],"&gt;="&amp;L43)</f>
        <v>0</v>
      </c>
      <c r="N42" s="39">
        <f t="shared" si="15"/>
        <v>0.071429</v>
      </c>
      <c r="O42" s="40">
        <f>COUNTIF(Vertices[Eigenvector Centrality],"&gt;= "&amp;N42)-COUNTIF(Vertices[Eigenvector Centrality],"&gt;="&amp;N43)</f>
        <v>0</v>
      </c>
      <c r="P42" s="39">
        <f t="shared" si="16"/>
        <v>0.999961</v>
      </c>
      <c r="Q42" s="40">
        <f>COUNTIF(Vertices[PageRank],"&gt;= "&amp;P42)-COUNTIF(Vertices[PageRank],"&gt;="&amp;P43)</f>
        <v>0</v>
      </c>
      <c r="R42" s="39">
        <f t="shared" si="17"/>
        <v>0</v>
      </c>
      <c r="S42" s="45">
        <f>COUNTIF(Vertices[Clustering Coefficient],"&gt;= "&amp;R42)-COUNTIF(Vertices[Clustering Coefficient],"&gt;="&amp;R43)</f>
        <v>0</v>
      </c>
      <c r="T42" s="39" t="e">
        <f ca="1" t="shared" si="18"/>
        <v>#REF!</v>
      </c>
      <c r="U42" s="40" t="e">
        <f ca="1" t="shared" si="0"/>
        <v>#REF!</v>
      </c>
    </row>
    <row r="43" spans="1:21" ht="15">
      <c r="A43" s="35"/>
      <c r="B43" s="35"/>
      <c r="D43" s="34">
        <f t="shared" si="10"/>
        <v>0</v>
      </c>
      <c r="E43" s="3">
        <f>COUNTIF(Vertices[Degree],"&gt;= "&amp;D43)-COUNTIF(Vertices[Degree],"&gt;="&amp;D44)</f>
        <v>0</v>
      </c>
      <c r="F43" s="41">
        <f t="shared" si="11"/>
        <v>1</v>
      </c>
      <c r="G43" s="42">
        <f>COUNTIF(Vertices[In-Degree],"&gt;= "&amp;F43)-COUNTIF(Vertices[In-Degree],"&gt;="&amp;F44)</f>
        <v>0</v>
      </c>
      <c r="H43" s="41">
        <f t="shared" si="12"/>
        <v>1</v>
      </c>
      <c r="I43" s="42">
        <f>COUNTIF(Vertices[Out-Degree],"&gt;= "&amp;H43)-COUNTIF(Vertices[Out-Degree],"&gt;="&amp;H44)</f>
        <v>0</v>
      </c>
      <c r="J43" s="41">
        <f t="shared" si="13"/>
        <v>0</v>
      </c>
      <c r="K43" s="42">
        <f>COUNTIF(Vertices[Betweenness Centrality],"&gt;= "&amp;J43)-COUNTIF(Vertices[Betweenness Centrality],"&gt;="&amp;J44)</f>
        <v>0</v>
      </c>
      <c r="L43" s="41">
        <f t="shared" si="14"/>
        <v>0</v>
      </c>
      <c r="M43" s="42">
        <f>COUNTIF(Vertices[Closeness Centrality],"&gt;= "&amp;L43)-COUNTIF(Vertices[Closeness Centrality],"&gt;="&amp;L44)</f>
        <v>0</v>
      </c>
      <c r="N43" s="41">
        <f t="shared" si="15"/>
        <v>0.071429</v>
      </c>
      <c r="O43" s="42">
        <f>COUNTIF(Vertices[Eigenvector Centrality],"&gt;= "&amp;N43)-COUNTIF(Vertices[Eigenvector Centrality],"&gt;="&amp;N44)</f>
        <v>0</v>
      </c>
      <c r="P43" s="41">
        <f t="shared" si="16"/>
        <v>0.999961</v>
      </c>
      <c r="Q43" s="42">
        <f>COUNTIF(Vertices[PageRank],"&gt;= "&amp;P43)-COUNTIF(Vertices[PageRank],"&gt;="&amp;P44)</f>
        <v>0</v>
      </c>
      <c r="R43" s="41">
        <f t="shared" si="17"/>
        <v>0</v>
      </c>
      <c r="S43" s="46">
        <f>COUNTIF(Vertices[Clustering Coefficient],"&gt;= "&amp;R43)-COUNTIF(Vertices[Clustering Coefficient],"&gt;="&amp;R44)</f>
        <v>0</v>
      </c>
      <c r="T43" s="41" t="e">
        <f ca="1" t="shared" si="18"/>
        <v>#REF!</v>
      </c>
      <c r="U43" s="42" t="e">
        <f ca="1" t="shared" si="0"/>
        <v>#REF!</v>
      </c>
    </row>
    <row r="44" spans="1:21" ht="15">
      <c r="A44" s="35"/>
      <c r="B44" s="35"/>
      <c r="D44" s="34">
        <f t="shared" si="10"/>
        <v>0</v>
      </c>
      <c r="E44" s="3">
        <f>COUNTIF(Vertices[Degree],"&gt;= "&amp;D44)-COUNTIF(Vertices[Degree],"&gt;="&amp;D45)</f>
        <v>0</v>
      </c>
      <c r="F44" s="39">
        <f t="shared" si="11"/>
        <v>1</v>
      </c>
      <c r="G44" s="40">
        <f>COUNTIF(Vertices[In-Degree],"&gt;= "&amp;F44)-COUNTIF(Vertices[In-Degree],"&gt;="&amp;F45)</f>
        <v>0</v>
      </c>
      <c r="H44" s="39">
        <f t="shared" si="12"/>
        <v>1</v>
      </c>
      <c r="I44" s="40">
        <f>COUNTIF(Vertices[Out-Degree],"&gt;= "&amp;H44)-COUNTIF(Vertices[Out-Degree],"&gt;="&amp;H45)</f>
        <v>0</v>
      </c>
      <c r="J44" s="39">
        <f t="shared" si="13"/>
        <v>0</v>
      </c>
      <c r="K44" s="40">
        <f>COUNTIF(Vertices[Betweenness Centrality],"&gt;= "&amp;J44)-COUNTIF(Vertices[Betweenness Centrality],"&gt;="&amp;J45)</f>
        <v>0</v>
      </c>
      <c r="L44" s="39">
        <f t="shared" si="14"/>
        <v>0</v>
      </c>
      <c r="M44" s="40">
        <f>COUNTIF(Vertices[Closeness Centrality],"&gt;= "&amp;L44)-COUNTIF(Vertices[Closeness Centrality],"&gt;="&amp;L45)</f>
        <v>0</v>
      </c>
      <c r="N44" s="39">
        <f t="shared" si="15"/>
        <v>0.071429</v>
      </c>
      <c r="O44" s="40">
        <f>COUNTIF(Vertices[Eigenvector Centrality],"&gt;= "&amp;N44)-COUNTIF(Vertices[Eigenvector Centrality],"&gt;="&amp;N45)</f>
        <v>0</v>
      </c>
      <c r="P44" s="39">
        <f t="shared" si="16"/>
        <v>0.999961</v>
      </c>
      <c r="Q44" s="40">
        <f>COUNTIF(Vertices[PageRank],"&gt;= "&amp;P44)-COUNTIF(Vertices[PageRank],"&gt;="&amp;P45)</f>
        <v>0</v>
      </c>
      <c r="R44" s="39">
        <f t="shared" si="17"/>
        <v>0</v>
      </c>
      <c r="S44" s="45">
        <f>COUNTIF(Vertices[Clustering Coefficient],"&gt;= "&amp;R44)-COUNTIF(Vertices[Clustering Coefficient],"&gt;="&amp;R45)</f>
        <v>0</v>
      </c>
      <c r="T44" s="39" t="e">
        <f ca="1" t="shared" si="18"/>
        <v>#REF!</v>
      </c>
      <c r="U44" s="40" t="e">
        <f ca="1" t="shared" si="0"/>
        <v>#REF!</v>
      </c>
    </row>
    <row r="45" spans="4:21" ht="15">
      <c r="D45" s="34">
        <f t="shared" si="10"/>
        <v>0</v>
      </c>
      <c r="E45" s="3">
        <f>COUNTIF(Vertices[Degree],"&gt;= "&amp;D45)-COUNTIF(Vertices[Degree],"&gt;="&amp;D46)</f>
        <v>0</v>
      </c>
      <c r="F45" s="41">
        <f t="shared" si="11"/>
        <v>1</v>
      </c>
      <c r="G45" s="42">
        <f>COUNTIF(Vertices[In-Degree],"&gt;= "&amp;F45)-COUNTIF(Vertices[In-Degree],"&gt;="&amp;F46)</f>
        <v>0</v>
      </c>
      <c r="H45" s="41">
        <f t="shared" si="12"/>
        <v>1</v>
      </c>
      <c r="I45" s="42">
        <f>COUNTIF(Vertices[Out-Degree],"&gt;= "&amp;H45)-COUNTIF(Vertices[Out-Degree],"&gt;="&amp;H46)</f>
        <v>0</v>
      </c>
      <c r="J45" s="41">
        <f t="shared" si="13"/>
        <v>0</v>
      </c>
      <c r="K45" s="42">
        <f>COUNTIF(Vertices[Betweenness Centrality],"&gt;= "&amp;J45)-COUNTIF(Vertices[Betweenness Centrality],"&gt;="&amp;J46)</f>
        <v>0</v>
      </c>
      <c r="L45" s="41">
        <f t="shared" si="14"/>
        <v>0</v>
      </c>
      <c r="M45" s="42">
        <f>COUNTIF(Vertices[Closeness Centrality],"&gt;= "&amp;L45)-COUNTIF(Vertices[Closeness Centrality],"&gt;="&amp;L46)</f>
        <v>0</v>
      </c>
      <c r="N45" s="41">
        <f t="shared" si="15"/>
        <v>0.071429</v>
      </c>
      <c r="O45" s="42">
        <f>COUNTIF(Vertices[Eigenvector Centrality],"&gt;= "&amp;N45)-COUNTIF(Vertices[Eigenvector Centrality],"&gt;="&amp;N46)</f>
        <v>0</v>
      </c>
      <c r="P45" s="41">
        <f t="shared" si="16"/>
        <v>0.999961</v>
      </c>
      <c r="Q45" s="42">
        <f>COUNTIF(Vertices[PageRank],"&gt;= "&amp;P45)-COUNTIF(Vertices[PageRank],"&gt;="&amp;P46)</f>
        <v>0</v>
      </c>
      <c r="R45" s="41">
        <f t="shared" si="17"/>
        <v>0</v>
      </c>
      <c r="S45" s="46">
        <f>COUNTIF(Vertices[Clustering Coefficient],"&gt;= "&amp;R45)-COUNTIF(Vertices[Clustering Coefficient],"&gt;="&amp;R46)</f>
        <v>0</v>
      </c>
      <c r="T45" s="41" t="e">
        <f ca="1" t="shared" si="18"/>
        <v>#REF!</v>
      </c>
      <c r="U45" s="42" t="e">
        <f ca="1" t="shared" si="0"/>
        <v>#REF!</v>
      </c>
    </row>
    <row r="46" spans="4:21" ht="15">
      <c r="D46" s="34">
        <f t="shared" si="10"/>
        <v>0</v>
      </c>
      <c r="E46" s="3">
        <f>COUNTIF(Vertices[Degree],"&gt;= "&amp;D46)-COUNTIF(Vertices[Degree],"&gt;="&amp;D47)</f>
        <v>0</v>
      </c>
      <c r="F46" s="39">
        <f t="shared" si="11"/>
        <v>1</v>
      </c>
      <c r="G46" s="40">
        <f>COUNTIF(Vertices[In-Degree],"&gt;= "&amp;F46)-COUNTIF(Vertices[In-Degree],"&gt;="&amp;F47)</f>
        <v>0</v>
      </c>
      <c r="H46" s="39">
        <f t="shared" si="12"/>
        <v>1</v>
      </c>
      <c r="I46" s="40">
        <f>COUNTIF(Vertices[Out-Degree],"&gt;= "&amp;H46)-COUNTIF(Vertices[Out-Degree],"&gt;="&amp;H47)</f>
        <v>0</v>
      </c>
      <c r="J46" s="39">
        <f t="shared" si="13"/>
        <v>0</v>
      </c>
      <c r="K46" s="40">
        <f>COUNTIF(Vertices[Betweenness Centrality],"&gt;= "&amp;J46)-COUNTIF(Vertices[Betweenness Centrality],"&gt;="&amp;J47)</f>
        <v>0</v>
      </c>
      <c r="L46" s="39">
        <f t="shared" si="14"/>
        <v>0</v>
      </c>
      <c r="M46" s="40">
        <f>COUNTIF(Vertices[Closeness Centrality],"&gt;= "&amp;L46)-COUNTIF(Vertices[Closeness Centrality],"&gt;="&amp;L47)</f>
        <v>0</v>
      </c>
      <c r="N46" s="39">
        <f t="shared" si="15"/>
        <v>0.071429</v>
      </c>
      <c r="O46" s="40">
        <f>COUNTIF(Vertices[Eigenvector Centrality],"&gt;= "&amp;N46)-COUNTIF(Vertices[Eigenvector Centrality],"&gt;="&amp;N47)</f>
        <v>0</v>
      </c>
      <c r="P46" s="39">
        <f t="shared" si="16"/>
        <v>0.999961</v>
      </c>
      <c r="Q46" s="40">
        <f>COUNTIF(Vertices[PageRank],"&gt;= "&amp;P46)-COUNTIF(Vertices[PageRank],"&gt;="&amp;P47)</f>
        <v>0</v>
      </c>
      <c r="R46" s="39">
        <f t="shared" si="17"/>
        <v>0</v>
      </c>
      <c r="S46" s="45">
        <f>COUNTIF(Vertices[Clustering Coefficient],"&gt;= "&amp;R46)-COUNTIF(Vertices[Clustering Coefficient],"&gt;="&amp;R47)</f>
        <v>0</v>
      </c>
      <c r="T46" s="39" t="e">
        <f ca="1" t="shared" si="18"/>
        <v>#REF!</v>
      </c>
      <c r="U46" s="40" t="e">
        <f ca="1" t="shared" si="0"/>
        <v>#REF!</v>
      </c>
    </row>
    <row r="47" spans="4:21" ht="15">
      <c r="D47" s="34">
        <f t="shared" si="10"/>
        <v>0</v>
      </c>
      <c r="E47" s="3">
        <f>COUNTIF(Vertices[Degree],"&gt;= "&amp;D47)-COUNTIF(Vertices[Degree],"&gt;="&amp;D48)</f>
        <v>0</v>
      </c>
      <c r="F47" s="41">
        <f t="shared" si="11"/>
        <v>1</v>
      </c>
      <c r="G47" s="42">
        <f>COUNTIF(Vertices[In-Degree],"&gt;= "&amp;F47)-COUNTIF(Vertices[In-Degree],"&gt;="&amp;F48)</f>
        <v>0</v>
      </c>
      <c r="H47" s="41">
        <f t="shared" si="12"/>
        <v>1</v>
      </c>
      <c r="I47" s="42">
        <f>COUNTIF(Vertices[Out-Degree],"&gt;= "&amp;H47)-COUNTIF(Vertices[Out-Degree],"&gt;="&amp;H48)</f>
        <v>0</v>
      </c>
      <c r="J47" s="41">
        <f t="shared" si="13"/>
        <v>0</v>
      </c>
      <c r="K47" s="42">
        <f>COUNTIF(Vertices[Betweenness Centrality],"&gt;= "&amp;J47)-COUNTIF(Vertices[Betweenness Centrality],"&gt;="&amp;J48)</f>
        <v>0</v>
      </c>
      <c r="L47" s="41">
        <f t="shared" si="14"/>
        <v>0</v>
      </c>
      <c r="M47" s="42">
        <f>COUNTIF(Vertices[Closeness Centrality],"&gt;= "&amp;L47)-COUNTIF(Vertices[Closeness Centrality],"&gt;="&amp;L48)</f>
        <v>0</v>
      </c>
      <c r="N47" s="41">
        <f t="shared" si="15"/>
        <v>0.071429</v>
      </c>
      <c r="O47" s="42">
        <f>COUNTIF(Vertices[Eigenvector Centrality],"&gt;= "&amp;N47)-COUNTIF(Vertices[Eigenvector Centrality],"&gt;="&amp;N48)</f>
        <v>0</v>
      </c>
      <c r="P47" s="41">
        <f t="shared" si="16"/>
        <v>0.999961</v>
      </c>
      <c r="Q47" s="42">
        <f>COUNTIF(Vertices[PageRank],"&gt;= "&amp;P47)-COUNTIF(Vertices[PageRank],"&gt;="&amp;P48)</f>
        <v>0</v>
      </c>
      <c r="R47" s="41">
        <f t="shared" si="17"/>
        <v>0</v>
      </c>
      <c r="S47" s="46">
        <f>COUNTIF(Vertices[Clustering Coefficient],"&gt;= "&amp;R47)-COUNTIF(Vertices[Clustering Coefficient],"&gt;="&amp;R48)</f>
        <v>0</v>
      </c>
      <c r="T47" s="41" t="e">
        <f ca="1" t="shared" si="18"/>
        <v>#REF!</v>
      </c>
      <c r="U47" s="42" t="e">
        <f ca="1" t="shared" si="0"/>
        <v>#REF!</v>
      </c>
    </row>
    <row r="48" spans="4:21" ht="15">
      <c r="D48" s="34">
        <f t="shared" si="10"/>
        <v>0</v>
      </c>
      <c r="E48" s="3">
        <f>COUNTIF(Vertices[Degree],"&gt;= "&amp;D48)-COUNTIF(Vertices[Degree],"&gt;="&amp;D49)</f>
        <v>0</v>
      </c>
      <c r="F48" s="39">
        <f t="shared" si="11"/>
        <v>1</v>
      </c>
      <c r="G48" s="40">
        <f>COUNTIF(Vertices[In-Degree],"&gt;= "&amp;F48)-COUNTIF(Vertices[In-Degree],"&gt;="&amp;F49)</f>
        <v>0</v>
      </c>
      <c r="H48" s="39">
        <f t="shared" si="12"/>
        <v>1</v>
      </c>
      <c r="I48" s="40">
        <f>COUNTIF(Vertices[Out-Degree],"&gt;= "&amp;H48)-COUNTIF(Vertices[Out-Degree],"&gt;="&amp;H49)</f>
        <v>0</v>
      </c>
      <c r="J48" s="39">
        <f t="shared" si="13"/>
        <v>0</v>
      </c>
      <c r="K48" s="40">
        <f>COUNTIF(Vertices[Betweenness Centrality],"&gt;= "&amp;J48)-COUNTIF(Vertices[Betweenness Centrality],"&gt;="&amp;J49)</f>
        <v>0</v>
      </c>
      <c r="L48" s="39">
        <f t="shared" si="14"/>
        <v>0</v>
      </c>
      <c r="M48" s="40">
        <f>COUNTIF(Vertices[Closeness Centrality],"&gt;= "&amp;L48)-COUNTIF(Vertices[Closeness Centrality],"&gt;="&amp;L49)</f>
        <v>0</v>
      </c>
      <c r="N48" s="39">
        <f t="shared" si="15"/>
        <v>0.071429</v>
      </c>
      <c r="O48" s="40">
        <f>COUNTIF(Vertices[Eigenvector Centrality],"&gt;= "&amp;N48)-COUNTIF(Vertices[Eigenvector Centrality],"&gt;="&amp;N49)</f>
        <v>0</v>
      </c>
      <c r="P48" s="39">
        <f t="shared" si="16"/>
        <v>0.999961</v>
      </c>
      <c r="Q48" s="40">
        <f>COUNTIF(Vertices[PageRank],"&gt;= "&amp;P48)-COUNTIF(Vertices[PageRank],"&gt;="&amp;P49)</f>
        <v>0</v>
      </c>
      <c r="R48" s="39">
        <f t="shared" si="17"/>
        <v>0</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"&amp;D49)-COUNTIF(Vertices[Degree],"&gt;="&amp;D50)</f>
        <v>0</v>
      </c>
      <c r="F49" s="41">
        <f t="shared" si="11"/>
        <v>1</v>
      </c>
      <c r="G49" s="42">
        <f>COUNTIF(Vertices[In-Degree],"&gt;= "&amp;F49)-COUNTIF(Vertices[In-Degree],"&gt;="&amp;F50)</f>
        <v>0</v>
      </c>
      <c r="H49" s="41">
        <f t="shared" si="12"/>
        <v>1</v>
      </c>
      <c r="I49" s="42">
        <f>COUNTIF(Vertices[Out-Degree],"&gt;= "&amp;H49)-COUNTIF(Vertices[Out-Degree],"&gt;="&amp;H50)</f>
        <v>0</v>
      </c>
      <c r="J49" s="41">
        <f t="shared" si="13"/>
        <v>0</v>
      </c>
      <c r="K49" s="42">
        <f>COUNTIF(Vertices[Betweenness Centrality],"&gt;= "&amp;J49)-COUNTIF(Vertices[Betweenness Centrality],"&gt;="&amp;J50)</f>
        <v>0</v>
      </c>
      <c r="L49" s="41">
        <f t="shared" si="14"/>
        <v>0</v>
      </c>
      <c r="M49" s="42">
        <f>COUNTIF(Vertices[Closeness Centrality],"&gt;= "&amp;L49)-COUNTIF(Vertices[Closeness Centrality],"&gt;="&amp;L50)</f>
        <v>0</v>
      </c>
      <c r="N49" s="41">
        <f t="shared" si="15"/>
        <v>0.071429</v>
      </c>
      <c r="O49" s="42">
        <f>COUNTIF(Vertices[Eigenvector Centrality],"&gt;= "&amp;N49)-COUNTIF(Vertices[Eigenvector Centrality],"&gt;="&amp;N50)</f>
        <v>0</v>
      </c>
      <c r="P49" s="41">
        <f t="shared" si="16"/>
        <v>0.999961</v>
      </c>
      <c r="Q49" s="42">
        <f>COUNTIF(Vertices[PageRank],"&gt;= "&amp;P49)-COUNTIF(Vertices[PageRank],"&gt;="&amp;P50)</f>
        <v>0</v>
      </c>
      <c r="R49" s="41">
        <f t="shared" si="17"/>
        <v>0</v>
      </c>
      <c r="S49" s="46">
        <f>COUNTIF(Vertices[Clustering Coefficient],"&gt;= "&amp;R49)-COUNTIF(Vertices[Clustering Coefficient],"&gt;="&amp;R50)</f>
        <v>0</v>
      </c>
      <c r="T49" s="41" t="e">
        <f ca="1" t="shared" si="18"/>
        <v>#REF!</v>
      </c>
      <c r="U49" s="42" t="e">
        <f ca="1" t="shared" si="0"/>
        <v>#REF!</v>
      </c>
    </row>
    <row r="50" spans="4:21" ht="15">
      <c r="D50" s="34">
        <f t="shared" si="10"/>
        <v>0</v>
      </c>
      <c r="E50" s="3">
        <f>COUNTIF(Vertices[Degree],"&gt;= "&amp;D50)-COUNTIF(Vertices[Degree],"&gt;="&amp;D51)</f>
        <v>0</v>
      </c>
      <c r="F50" s="39">
        <f t="shared" si="11"/>
        <v>1</v>
      </c>
      <c r="G50" s="40">
        <f>COUNTIF(Vertices[In-Degree],"&gt;= "&amp;F50)-COUNTIF(Vertices[In-Degree],"&gt;="&amp;F51)</f>
        <v>0</v>
      </c>
      <c r="H50" s="39">
        <f t="shared" si="12"/>
        <v>1</v>
      </c>
      <c r="I50" s="40">
        <f>COUNTIF(Vertices[Out-Degree],"&gt;= "&amp;H50)-COUNTIF(Vertices[Out-Degree],"&gt;="&amp;H51)</f>
        <v>0</v>
      </c>
      <c r="J50" s="39">
        <f t="shared" si="13"/>
        <v>0</v>
      </c>
      <c r="K50" s="40">
        <f>COUNTIF(Vertices[Betweenness Centrality],"&gt;= "&amp;J50)-COUNTIF(Vertices[Betweenness Centrality],"&gt;="&amp;J51)</f>
        <v>0</v>
      </c>
      <c r="L50" s="39">
        <f t="shared" si="14"/>
        <v>0</v>
      </c>
      <c r="M50" s="40">
        <f>COUNTIF(Vertices[Closeness Centrality],"&gt;= "&amp;L50)-COUNTIF(Vertices[Closeness Centrality],"&gt;="&amp;L51)</f>
        <v>0</v>
      </c>
      <c r="N50" s="39">
        <f t="shared" si="15"/>
        <v>0.071429</v>
      </c>
      <c r="O50" s="40">
        <f>COUNTIF(Vertices[Eigenvector Centrality],"&gt;= "&amp;N50)-COUNTIF(Vertices[Eigenvector Centrality],"&gt;="&amp;N51)</f>
        <v>0</v>
      </c>
      <c r="P50" s="39">
        <f t="shared" si="16"/>
        <v>0.999961</v>
      </c>
      <c r="Q50" s="40">
        <f>COUNTIF(Vertices[PageRank],"&gt;= "&amp;P50)-COUNTIF(Vertices[PageRank],"&gt;="&amp;P51)</f>
        <v>0</v>
      </c>
      <c r="R50" s="39">
        <f t="shared" si="17"/>
        <v>0</v>
      </c>
      <c r="S50" s="45">
        <f>COUNTIF(Vertices[Clustering Coefficient],"&gt;= "&amp;R50)-COUNTIF(Vertices[Clustering Coefficient],"&gt;="&amp;R51)</f>
        <v>0</v>
      </c>
      <c r="T50" s="39" t="e">
        <f ca="1" t="shared" si="18"/>
        <v>#REF!</v>
      </c>
      <c r="U50" s="40" t="e">
        <f ca="1" t="shared" si="0"/>
        <v>#REF!</v>
      </c>
    </row>
    <row r="51" spans="4:21" ht="15">
      <c r="D51" s="34">
        <f t="shared" si="10"/>
        <v>0</v>
      </c>
      <c r="E51" s="3">
        <f>COUNTIF(Vertices[Degree],"&gt;= "&amp;D51)-COUNTIF(Vertices[Degree],"&gt;="&amp;D52)</f>
        <v>0</v>
      </c>
      <c r="F51" s="41">
        <f t="shared" si="11"/>
        <v>1</v>
      </c>
      <c r="G51" s="42">
        <f>COUNTIF(Vertices[In-Degree],"&gt;= "&amp;F51)-COUNTIF(Vertices[In-Degree],"&gt;="&amp;F52)</f>
        <v>0</v>
      </c>
      <c r="H51" s="41">
        <f t="shared" si="12"/>
        <v>1</v>
      </c>
      <c r="I51" s="42">
        <f>COUNTIF(Vertices[Out-Degree],"&gt;= "&amp;H51)-COUNTIF(Vertices[Out-Degree],"&gt;="&amp;H52)</f>
        <v>0</v>
      </c>
      <c r="J51" s="41">
        <f t="shared" si="13"/>
        <v>0</v>
      </c>
      <c r="K51" s="42">
        <f>COUNTIF(Vertices[Betweenness Centrality],"&gt;= "&amp;J51)-COUNTIF(Vertices[Betweenness Centrality],"&gt;="&amp;J52)</f>
        <v>0</v>
      </c>
      <c r="L51" s="41">
        <f t="shared" si="14"/>
        <v>0</v>
      </c>
      <c r="M51" s="42">
        <f>COUNTIF(Vertices[Closeness Centrality],"&gt;= "&amp;L51)-COUNTIF(Vertices[Closeness Centrality],"&gt;="&amp;L52)</f>
        <v>0</v>
      </c>
      <c r="N51" s="41">
        <f t="shared" si="15"/>
        <v>0.071429</v>
      </c>
      <c r="O51" s="42">
        <f>COUNTIF(Vertices[Eigenvector Centrality],"&gt;= "&amp;N51)-COUNTIF(Vertices[Eigenvector Centrality],"&gt;="&amp;N52)</f>
        <v>0</v>
      </c>
      <c r="P51" s="41">
        <f t="shared" si="16"/>
        <v>0.999961</v>
      </c>
      <c r="Q51" s="42">
        <f>COUNTIF(Vertices[PageRank],"&gt;= "&amp;P51)-COUNTIF(Vertices[PageRank],"&gt;="&amp;P52)</f>
        <v>0</v>
      </c>
      <c r="R51" s="41">
        <f t="shared" si="17"/>
        <v>0</v>
      </c>
      <c r="S51" s="46">
        <f>COUNTIF(Vertices[Clustering Coefficient],"&gt;= "&amp;R51)-COUNTIF(Vertices[Clustering Coefficient],"&gt;="&amp;R52)</f>
        <v>0</v>
      </c>
      <c r="T51" s="41" t="e">
        <f ca="1" t="shared" si="18"/>
        <v>#REF!</v>
      </c>
      <c r="U51" s="42" t="e">
        <f ca="1" t="shared" si="0"/>
        <v>#REF!</v>
      </c>
    </row>
    <row r="52" spans="4:21" ht="15">
      <c r="D52" s="34">
        <f t="shared" si="10"/>
        <v>0</v>
      </c>
      <c r="E52" s="3">
        <f>COUNTIF(Vertices[Degree],"&gt;= "&amp;D52)-COUNTIF(Vertices[Degree],"&gt;="&amp;D53)</f>
        <v>0</v>
      </c>
      <c r="F52" s="39">
        <f t="shared" si="11"/>
        <v>1</v>
      </c>
      <c r="G52" s="40">
        <f>COUNTIF(Vertices[In-Degree],"&gt;= "&amp;F52)-COUNTIF(Vertices[In-Degree],"&gt;="&amp;F53)</f>
        <v>0</v>
      </c>
      <c r="H52" s="39">
        <f t="shared" si="12"/>
        <v>1</v>
      </c>
      <c r="I52" s="40">
        <f>COUNTIF(Vertices[Out-Degree],"&gt;= "&amp;H52)-COUNTIF(Vertices[Out-Degree],"&gt;="&amp;H53)</f>
        <v>0</v>
      </c>
      <c r="J52" s="39">
        <f t="shared" si="13"/>
        <v>0</v>
      </c>
      <c r="K52" s="40">
        <f>COUNTIF(Vertices[Betweenness Centrality],"&gt;= "&amp;J52)-COUNTIF(Vertices[Betweenness Centrality],"&gt;="&amp;J53)</f>
        <v>0</v>
      </c>
      <c r="L52" s="39">
        <f t="shared" si="14"/>
        <v>0</v>
      </c>
      <c r="M52" s="40">
        <f>COUNTIF(Vertices[Closeness Centrality],"&gt;= "&amp;L52)-COUNTIF(Vertices[Closeness Centrality],"&gt;="&amp;L53)</f>
        <v>0</v>
      </c>
      <c r="N52" s="39">
        <f t="shared" si="15"/>
        <v>0.071429</v>
      </c>
      <c r="O52" s="40">
        <f>COUNTIF(Vertices[Eigenvector Centrality],"&gt;= "&amp;N52)-COUNTIF(Vertices[Eigenvector Centrality],"&gt;="&amp;N53)</f>
        <v>0</v>
      </c>
      <c r="P52" s="39">
        <f t="shared" si="16"/>
        <v>0.999961</v>
      </c>
      <c r="Q52" s="40">
        <f>COUNTIF(Vertices[PageRank],"&gt;= "&amp;P52)-COUNTIF(Vertices[PageRank],"&gt;="&amp;P53)</f>
        <v>0</v>
      </c>
      <c r="R52" s="39">
        <f t="shared" si="17"/>
        <v>0</v>
      </c>
      <c r="S52" s="45">
        <f>COUNTIF(Vertices[Clustering Coefficient],"&gt;= "&amp;R52)-COUNTIF(Vertices[Clustering Coefficient],"&gt;="&amp;R53)</f>
        <v>0</v>
      </c>
      <c r="T52" s="39" t="e">
        <f ca="1" t="shared" si="18"/>
        <v>#REF!</v>
      </c>
      <c r="U52" s="40" t="e">
        <f ca="1" t="shared" si="0"/>
        <v>#REF!</v>
      </c>
    </row>
    <row r="53" spans="4:21" ht="15">
      <c r="D53" s="34">
        <f t="shared" si="10"/>
        <v>0</v>
      </c>
      <c r="E53" s="3">
        <f>COUNTIF(Vertices[Degree],"&gt;= "&amp;D53)-COUNTIF(Vertices[Degree],"&gt;="&amp;D54)</f>
        <v>0</v>
      </c>
      <c r="F53" s="41">
        <f t="shared" si="11"/>
        <v>1</v>
      </c>
      <c r="G53" s="42">
        <f>COUNTIF(Vertices[In-Degree],"&gt;= "&amp;F53)-COUNTIF(Vertices[In-Degree],"&gt;="&amp;F54)</f>
        <v>0</v>
      </c>
      <c r="H53" s="41">
        <f t="shared" si="12"/>
        <v>1</v>
      </c>
      <c r="I53" s="42">
        <f>COUNTIF(Vertices[Out-Degree],"&gt;= "&amp;H53)-COUNTIF(Vertices[Out-Degree],"&gt;="&amp;H54)</f>
        <v>0</v>
      </c>
      <c r="J53" s="41">
        <f t="shared" si="13"/>
        <v>0</v>
      </c>
      <c r="K53" s="42">
        <f>COUNTIF(Vertices[Betweenness Centrality],"&gt;= "&amp;J53)-COUNTIF(Vertices[Betweenness Centrality],"&gt;="&amp;J54)</f>
        <v>0</v>
      </c>
      <c r="L53" s="41">
        <f t="shared" si="14"/>
        <v>0</v>
      </c>
      <c r="M53" s="42">
        <f>COUNTIF(Vertices[Closeness Centrality],"&gt;= "&amp;L53)-COUNTIF(Vertices[Closeness Centrality],"&gt;="&amp;L54)</f>
        <v>0</v>
      </c>
      <c r="N53" s="41">
        <f t="shared" si="15"/>
        <v>0.071429</v>
      </c>
      <c r="O53" s="42">
        <f>COUNTIF(Vertices[Eigenvector Centrality],"&gt;= "&amp;N53)-COUNTIF(Vertices[Eigenvector Centrality],"&gt;="&amp;N54)</f>
        <v>0</v>
      </c>
      <c r="P53" s="41">
        <f t="shared" si="16"/>
        <v>0.999961</v>
      </c>
      <c r="Q53" s="42">
        <f>COUNTIF(Vertices[PageRank],"&gt;= "&amp;P53)-COUNTIF(Vertices[PageRank],"&gt;="&amp;P54)</f>
        <v>0</v>
      </c>
      <c r="R53" s="41">
        <f t="shared" si="17"/>
        <v>0</v>
      </c>
      <c r="S53" s="46">
        <f>COUNTIF(Vertices[Clustering Coefficient],"&gt;= "&amp;R53)-COUNTIF(Vertices[Clustering Coefficient],"&gt;="&amp;R54)</f>
        <v>0</v>
      </c>
      <c r="T53" s="41" t="e">
        <f ca="1" t="shared" si="18"/>
        <v>#REF!</v>
      </c>
      <c r="U53" s="42" t="e">
        <f ca="1" t="shared" si="0"/>
        <v>#REF!</v>
      </c>
    </row>
    <row r="54" spans="4:21" ht="15">
      <c r="D54" s="34">
        <f t="shared" si="10"/>
        <v>0</v>
      </c>
      <c r="E54" s="3">
        <f>COUNTIF(Vertices[Degree],"&gt;= "&amp;D54)-COUNTIF(Vertices[Degree],"&gt;="&amp;D55)</f>
        <v>0</v>
      </c>
      <c r="F54" s="39">
        <f t="shared" si="11"/>
        <v>1</v>
      </c>
      <c r="G54" s="40">
        <f>COUNTIF(Vertices[In-Degree],"&gt;= "&amp;F54)-COUNTIF(Vertices[In-Degree],"&gt;="&amp;F55)</f>
        <v>0</v>
      </c>
      <c r="H54" s="39">
        <f t="shared" si="12"/>
        <v>1</v>
      </c>
      <c r="I54" s="40">
        <f>COUNTIF(Vertices[Out-Degree],"&gt;= "&amp;H54)-COUNTIF(Vertices[Out-Degree],"&gt;="&amp;H55)</f>
        <v>0</v>
      </c>
      <c r="J54" s="39">
        <f t="shared" si="13"/>
        <v>0</v>
      </c>
      <c r="K54" s="40">
        <f>COUNTIF(Vertices[Betweenness Centrality],"&gt;= "&amp;J54)-COUNTIF(Vertices[Betweenness Centrality],"&gt;="&amp;J55)</f>
        <v>0</v>
      </c>
      <c r="L54" s="39">
        <f t="shared" si="14"/>
        <v>0</v>
      </c>
      <c r="M54" s="40">
        <f>COUNTIF(Vertices[Closeness Centrality],"&gt;= "&amp;L54)-COUNTIF(Vertices[Closeness Centrality],"&gt;="&amp;L55)</f>
        <v>0</v>
      </c>
      <c r="N54" s="39">
        <f t="shared" si="15"/>
        <v>0.071429</v>
      </c>
      <c r="O54" s="40">
        <f>COUNTIF(Vertices[Eigenvector Centrality],"&gt;= "&amp;N54)-COUNTIF(Vertices[Eigenvector Centrality],"&gt;="&amp;N55)</f>
        <v>0</v>
      </c>
      <c r="P54" s="39">
        <f t="shared" si="16"/>
        <v>0.999961</v>
      </c>
      <c r="Q54" s="40">
        <f>COUNTIF(Vertices[PageRank],"&gt;= "&amp;P54)-COUNTIF(Vertices[PageRank],"&gt;="&amp;P55)</f>
        <v>0</v>
      </c>
      <c r="R54" s="39">
        <f t="shared" si="17"/>
        <v>0</v>
      </c>
      <c r="S54" s="45">
        <f>COUNTIF(Vertices[Clustering Coefficient],"&gt;= "&amp;R54)-COUNTIF(Vertices[Clustering Coefficient],"&gt;="&amp;R55)</f>
        <v>0</v>
      </c>
      <c r="T54" s="39" t="e">
        <f ca="1" t="shared" si="18"/>
        <v>#REF!</v>
      </c>
      <c r="U54" s="40" t="e">
        <f ca="1" t="shared" si="0"/>
        <v>#REF!</v>
      </c>
    </row>
    <row r="55" spans="1:21" ht="15">
      <c r="A55" s="35" t="s">
        <v>81</v>
      </c>
      <c r="B55" s="48" t="str">
        <f>IF(COUNT(Vertices[Degree])&gt;0,D2,NoMetricMessage)</f>
        <v>Not Available</v>
      </c>
      <c r="D55" s="34">
        <f t="shared" si="10"/>
        <v>0</v>
      </c>
      <c r="E55" s="3">
        <f>COUNTIF(Vertices[Degree],"&gt;= "&amp;D55)-COUNTIF(Vertices[Degree],"&gt;="&amp;D56)</f>
        <v>0</v>
      </c>
      <c r="F55" s="41">
        <f t="shared" si="11"/>
        <v>1</v>
      </c>
      <c r="G55" s="42">
        <f>COUNTIF(Vertices[In-Degree],"&gt;= "&amp;F55)-COUNTIF(Vertices[In-Degree],"&gt;="&amp;F56)</f>
        <v>0</v>
      </c>
      <c r="H55" s="41">
        <f t="shared" si="12"/>
        <v>1</v>
      </c>
      <c r="I55" s="42">
        <f>COUNTIF(Vertices[Out-Degree],"&gt;= "&amp;H55)-COUNTIF(Vertices[Out-Degree],"&gt;="&amp;H56)</f>
        <v>0</v>
      </c>
      <c r="J55" s="41">
        <f t="shared" si="13"/>
        <v>0</v>
      </c>
      <c r="K55" s="42">
        <f>COUNTIF(Vertices[Betweenness Centrality],"&gt;= "&amp;J55)-COUNTIF(Vertices[Betweenness Centrality],"&gt;="&amp;J56)</f>
        <v>0</v>
      </c>
      <c r="L55" s="41">
        <f t="shared" si="14"/>
        <v>0</v>
      </c>
      <c r="M55" s="42">
        <f>COUNTIF(Vertices[Closeness Centrality],"&gt;= "&amp;L55)-COUNTIF(Vertices[Closeness Centrality],"&gt;="&amp;L56)</f>
        <v>0</v>
      </c>
      <c r="N55" s="41">
        <f t="shared" si="15"/>
        <v>0.071429</v>
      </c>
      <c r="O55" s="42">
        <f>COUNTIF(Vertices[Eigenvector Centrality],"&gt;= "&amp;N55)-COUNTIF(Vertices[Eigenvector Centrality],"&gt;="&amp;N56)</f>
        <v>0</v>
      </c>
      <c r="P55" s="41">
        <f t="shared" si="16"/>
        <v>0.999961</v>
      </c>
      <c r="Q55" s="42">
        <f>COUNTIF(Vertices[PageRank],"&gt;= "&amp;P55)-COUNTIF(Vertices[PageRank],"&gt;="&amp;P56)</f>
        <v>0</v>
      </c>
      <c r="R55" s="41">
        <f t="shared" si="17"/>
        <v>0</v>
      </c>
      <c r="S55" s="46">
        <f>COUNTIF(Vertices[Clustering Coefficient],"&gt;= "&amp;R55)-COUNTIF(Vertices[Clustering Coefficient],"&gt;="&amp;R56)</f>
        <v>0</v>
      </c>
      <c r="T55" s="41" t="e">
        <f ca="1" t="shared" si="18"/>
        <v>#REF!</v>
      </c>
      <c r="U55" s="42" t="e">
        <f ca="1" t="shared" si="0"/>
        <v>#REF!</v>
      </c>
    </row>
    <row r="56" spans="1:21" ht="15">
      <c r="A56" s="35" t="s">
        <v>82</v>
      </c>
      <c r="B56" s="48" t="str">
        <f>IF(COUNT(Vertices[Degree])&gt;0,D57,NoMetricMessage)</f>
        <v>Not Available</v>
      </c>
      <c r="D56" s="34">
        <f t="shared" si="10"/>
        <v>0</v>
      </c>
      <c r="E56" s="3">
        <f>COUNTIF(Vertices[Degree],"&gt;= "&amp;D56)-COUNTIF(Vertices[Degree],"&gt;="&amp;D57)</f>
        <v>0</v>
      </c>
      <c r="F56" s="39">
        <f t="shared" si="11"/>
        <v>1</v>
      </c>
      <c r="G56" s="40">
        <f>COUNTIF(Vertices[In-Degree],"&gt;= "&amp;F56)-COUNTIF(Vertices[In-Degree],"&gt;="&amp;F57)</f>
        <v>0</v>
      </c>
      <c r="H56" s="39">
        <f t="shared" si="12"/>
        <v>1</v>
      </c>
      <c r="I56" s="40">
        <f>COUNTIF(Vertices[Out-Degree],"&gt;= "&amp;H56)-COUNTIF(Vertices[Out-Degree],"&gt;="&amp;H57)</f>
        <v>0</v>
      </c>
      <c r="J56" s="39">
        <f t="shared" si="13"/>
        <v>0</v>
      </c>
      <c r="K56" s="40">
        <f>COUNTIF(Vertices[Betweenness Centrality],"&gt;= "&amp;J56)-COUNTIF(Vertices[Betweenness Centrality],"&gt;="&amp;J57)</f>
        <v>0</v>
      </c>
      <c r="L56" s="39">
        <f t="shared" si="14"/>
        <v>0</v>
      </c>
      <c r="M56" s="40">
        <f>COUNTIF(Vertices[Closeness Centrality],"&gt;= "&amp;L56)-COUNTIF(Vertices[Closeness Centrality],"&gt;="&amp;L57)</f>
        <v>0</v>
      </c>
      <c r="N56" s="39">
        <f t="shared" si="15"/>
        <v>0.071429</v>
      </c>
      <c r="O56" s="40">
        <f>COUNTIF(Vertices[Eigenvector Centrality],"&gt;= "&amp;N56)-COUNTIF(Vertices[Eigenvector Centrality],"&gt;="&amp;N57)</f>
        <v>0</v>
      </c>
      <c r="P56" s="39">
        <f t="shared" si="16"/>
        <v>0.999961</v>
      </c>
      <c r="Q56" s="40">
        <f>COUNTIF(Vertices[PageRank],"&gt;= "&amp;P56)-COUNTIF(Vertices[PageRank],"&gt;="&amp;P57)</f>
        <v>0</v>
      </c>
      <c r="R56" s="39">
        <f t="shared" si="17"/>
        <v>0</v>
      </c>
      <c r="S56" s="45">
        <f>COUNTIF(Vertices[Clustering Coefficient],"&gt;= "&amp;R56)-COUNTIF(Vertices[Clustering Coefficient],"&gt;="&amp;R57)</f>
        <v>0</v>
      </c>
      <c r="T56" s="39" t="e">
        <f ca="1" t="shared" si="18"/>
        <v>#REF!</v>
      </c>
      <c r="U56" s="40" t="e">
        <f ca="1" t="shared" si="0"/>
        <v>#REF!</v>
      </c>
    </row>
    <row r="57" spans="1:21" ht="15">
      <c r="A57" s="35" t="s">
        <v>83</v>
      </c>
      <c r="B57" s="49" t="str">
        <f>_xlfn.IFERROR(AVERAGE(Vertices[Degree]),NoMetricMessage)</f>
        <v>Not Available</v>
      </c>
      <c r="D57" s="34">
        <f>MAX(Vertices[Degree])</f>
        <v>0</v>
      </c>
      <c r="E57" s="3">
        <f>COUNTIF(Vertices[Degree],"&gt;= "&amp;D57)-COUNTIF(Vertices[Degree],"&gt;="&amp;D58)</f>
        <v>0</v>
      </c>
      <c r="F57" s="43">
        <f>MAX(Vertices[In-Degree])</f>
        <v>1</v>
      </c>
      <c r="G57" s="44">
        <f>COUNTIF(Vertices[In-Degree],"&gt;= "&amp;F57)-COUNTIF(Vertices[In-Degree],"&gt;="&amp;F58)</f>
        <v>14</v>
      </c>
      <c r="H57" s="43">
        <f>MAX(Vertices[Out-Degree])</f>
        <v>1</v>
      </c>
      <c r="I57" s="44">
        <f>COUNTIF(Vertices[Out-Degree],"&gt;= "&amp;H57)-COUNTIF(Vertices[Out-Degree],"&gt;="&amp;H58)</f>
        <v>14</v>
      </c>
      <c r="J57" s="43">
        <f>MAX(Vertices[Betweenness Centrality])</f>
        <v>0</v>
      </c>
      <c r="K57" s="44">
        <f>COUNTIF(Vertices[Betweenness Centrality],"&gt;= "&amp;J57)-COUNTIF(Vertices[Betweenness Centrality],"&gt;="&amp;J58)</f>
        <v>14</v>
      </c>
      <c r="L57" s="43">
        <f>MAX(Vertices[Closeness Centrality])</f>
        <v>0</v>
      </c>
      <c r="M57" s="44">
        <f>COUNTIF(Vertices[Closeness Centrality],"&gt;= "&amp;L57)-COUNTIF(Vertices[Closeness Centrality],"&gt;="&amp;L58)</f>
        <v>14</v>
      </c>
      <c r="N57" s="43">
        <f>MAX(Vertices[Eigenvector Centrality])</f>
        <v>0.071429</v>
      </c>
      <c r="O57" s="44">
        <f>COUNTIF(Vertices[Eigenvector Centrality],"&gt;= "&amp;N57)-COUNTIF(Vertices[Eigenvector Centrality],"&gt;="&amp;N58)</f>
        <v>14</v>
      </c>
      <c r="P57" s="43">
        <f>MAX(Vertices[PageRank])</f>
        <v>0.999961</v>
      </c>
      <c r="Q57" s="44">
        <f>COUNTIF(Vertices[PageRank],"&gt;= "&amp;P57)-COUNTIF(Vertices[PageRank],"&gt;="&amp;P58)</f>
        <v>14</v>
      </c>
      <c r="R57" s="43">
        <f>MAX(Vertices[Clustering Coefficient])</f>
        <v>0</v>
      </c>
      <c r="S57" s="47">
        <f>COUNTIF(Vertices[Clustering Coefficient],"&gt;= "&amp;R57)-COUNTIF(Vertices[Clustering Coefficient],"&gt;="&amp;R58)</f>
        <v>14</v>
      </c>
      <c r="T57" s="43" t="e">
        <f ca="1">MAX(INDIRECT(DynamicFilterSourceColumnRange))</f>
        <v>#REF!</v>
      </c>
      <c r="U57" s="44" t="e">
        <f ca="1" t="shared" si="0"/>
        <v>#REF!</v>
      </c>
    </row>
    <row r="58" spans="1:2" ht="15">
      <c r="A58" s="35" t="s">
        <v>84</v>
      </c>
      <c r="B58" s="49" t="str">
        <f>_xlfn.IFERROR(MEDIAN(Vertices[Degree]),NoMetricMessage)</f>
        <v>Not Available</v>
      </c>
    </row>
    <row r="69" spans="1:2" ht="15">
      <c r="A69" s="35" t="s">
        <v>88</v>
      </c>
      <c r="B69" s="48">
        <f>IF(COUNT(Vertices[In-Degree])&gt;0,F2,NoMetricMessage)</f>
        <v>1</v>
      </c>
    </row>
    <row r="70" spans="1:2" ht="15">
      <c r="A70" s="35" t="s">
        <v>89</v>
      </c>
      <c r="B70" s="48">
        <f>IF(COUNT(Vertices[In-Degree])&gt;0,F57,NoMetricMessage)</f>
        <v>1</v>
      </c>
    </row>
    <row r="71" spans="1:2" ht="15">
      <c r="A71" s="35" t="s">
        <v>90</v>
      </c>
      <c r="B71" s="49">
        <f>_xlfn.IFERROR(AVERAGE(Vertices[In-Degree]),NoMetricMessage)</f>
        <v>1</v>
      </c>
    </row>
    <row r="72" spans="1:2" ht="15">
      <c r="A72" s="35" t="s">
        <v>91</v>
      </c>
      <c r="B72" s="49">
        <f>_xlfn.IFERROR(MEDIAN(Vertices[In-Degree]),NoMetricMessage)</f>
        <v>1</v>
      </c>
    </row>
    <row r="83" spans="1:2" ht="15">
      <c r="A83" s="35" t="s">
        <v>94</v>
      </c>
      <c r="B83" s="48">
        <f>IF(COUNT(Vertices[Out-Degree])&gt;0,H2,NoMetricMessage)</f>
        <v>1</v>
      </c>
    </row>
    <row r="84" spans="1:2" ht="15">
      <c r="A84" s="35" t="s">
        <v>95</v>
      </c>
      <c r="B84" s="48">
        <f>IF(COUNT(Vertices[Out-Degree])&gt;0,H57,NoMetricMessage)</f>
        <v>1</v>
      </c>
    </row>
    <row r="85" spans="1:2" ht="15">
      <c r="A85" s="35" t="s">
        <v>96</v>
      </c>
      <c r="B85" s="49">
        <f>_xlfn.IFERROR(AVERAGE(Vertices[Out-Degree]),NoMetricMessage)</f>
        <v>1</v>
      </c>
    </row>
    <row r="86" spans="1:2" ht="15">
      <c r="A86" s="35" t="s">
        <v>97</v>
      </c>
      <c r="B86" s="49">
        <f>_xlfn.IFERROR(MEDIAN(Vertices[Out-Degree]),NoMetricMessage)</f>
        <v>1</v>
      </c>
    </row>
    <row r="97" spans="1:2" ht="15">
      <c r="A97" s="35" t="s">
        <v>100</v>
      </c>
      <c r="B97" s="49">
        <f>IF(COUNT(Vertices[Betweenness Centrality])&gt;0,J2,NoMetricMessage)</f>
        <v>0</v>
      </c>
    </row>
    <row r="98" spans="1:2" ht="15">
      <c r="A98" s="35" t="s">
        <v>101</v>
      </c>
      <c r="B98" s="49">
        <f>IF(COUNT(Vertices[Betweenness Centrality])&gt;0,J57,NoMetricMessage)</f>
        <v>0</v>
      </c>
    </row>
    <row r="99" spans="1:2" ht="15">
      <c r="A99" s="35" t="s">
        <v>102</v>
      </c>
      <c r="B99" s="49">
        <f>_xlfn.IFERROR(AVERAGE(Vertices[Betweenness Centrality]),NoMetricMessage)</f>
        <v>0</v>
      </c>
    </row>
    <row r="100" spans="1:2" ht="15">
      <c r="A100" s="35" t="s">
        <v>103</v>
      </c>
      <c r="B100" s="49">
        <f>_xlfn.IFERROR(MEDIAN(Vertices[Betweenness Centrality]),NoMetricMessage)</f>
        <v>0</v>
      </c>
    </row>
    <row r="111" spans="1:2" ht="15">
      <c r="A111" s="35" t="s">
        <v>106</v>
      </c>
      <c r="B111" s="49">
        <f>IF(COUNT(Vertices[Closeness Centrality])&gt;0,L2,NoMetricMessage)</f>
        <v>0</v>
      </c>
    </row>
    <row r="112" spans="1:2" ht="15">
      <c r="A112" s="35" t="s">
        <v>107</v>
      </c>
      <c r="B112" s="49">
        <f>IF(COUNT(Vertices[Closeness Centrality])&gt;0,L57,NoMetricMessage)</f>
        <v>0</v>
      </c>
    </row>
    <row r="113" spans="1:2" ht="15">
      <c r="A113" s="35" t="s">
        <v>108</v>
      </c>
      <c r="B113" s="49">
        <f>_xlfn.IFERROR(AVERAGE(Vertices[Closeness Centrality]),NoMetricMessage)</f>
        <v>0</v>
      </c>
    </row>
    <row r="114" spans="1:2" ht="15">
      <c r="A114" s="35" t="s">
        <v>109</v>
      </c>
      <c r="B114" s="49">
        <f>_xlfn.IFERROR(MEDIAN(Vertices[Closeness Centrality]),NoMetricMessage)</f>
        <v>0</v>
      </c>
    </row>
    <row r="125" spans="1:2" ht="15">
      <c r="A125" s="35" t="s">
        <v>112</v>
      </c>
      <c r="B125" s="49">
        <f>IF(COUNT(Vertices[Eigenvector Centrality])&gt;0,N2,NoMetricMessage)</f>
        <v>0.071429</v>
      </c>
    </row>
    <row r="126" spans="1:2" ht="15">
      <c r="A126" s="35" t="s">
        <v>113</v>
      </c>
      <c r="B126" s="49">
        <f>IF(COUNT(Vertices[Eigenvector Centrality])&gt;0,N57,NoMetricMessage)</f>
        <v>0.071429</v>
      </c>
    </row>
    <row r="127" spans="1:2" ht="15">
      <c r="A127" s="35" t="s">
        <v>114</v>
      </c>
      <c r="B127" s="49">
        <f>_xlfn.IFERROR(AVERAGE(Vertices[Eigenvector Centrality]),NoMetricMessage)</f>
        <v>0.07142899999999999</v>
      </c>
    </row>
    <row r="128" spans="1:2" ht="15">
      <c r="A128" s="35" t="s">
        <v>115</v>
      </c>
      <c r="B128" s="49">
        <f>_xlfn.IFERROR(MEDIAN(Vertices[Eigenvector Centrality]),NoMetricMessage)</f>
        <v>0.071429</v>
      </c>
    </row>
    <row r="139" spans="1:2" ht="15">
      <c r="A139" s="35" t="s">
        <v>140</v>
      </c>
      <c r="B139" s="49">
        <f>IF(COUNT(Vertices[PageRank])&gt;0,P2,NoMetricMessage)</f>
        <v>0.999961</v>
      </c>
    </row>
    <row r="140" spans="1:2" ht="15">
      <c r="A140" s="35" t="s">
        <v>141</v>
      </c>
      <c r="B140" s="49">
        <f>IF(COUNT(Vertices[PageRank])&gt;0,P57,NoMetricMessage)</f>
        <v>0.999961</v>
      </c>
    </row>
    <row r="141" spans="1:2" ht="15">
      <c r="A141" s="35" t="s">
        <v>142</v>
      </c>
      <c r="B141" s="49">
        <f>_xlfn.IFERROR(AVERAGE(Vertices[PageRank]),NoMetricMessage)</f>
        <v>0.9999610000000002</v>
      </c>
    </row>
    <row r="142" spans="1:2" ht="15">
      <c r="A142" s="35" t="s">
        <v>143</v>
      </c>
      <c r="B142" s="49">
        <f>_xlfn.IFERROR(MEDIAN(Vertices[PageRank]),NoMetricMessage)</f>
        <v>0.999961</v>
      </c>
    </row>
    <row r="153" spans="1:2" ht="15">
      <c r="A153" s="35" t="s">
        <v>118</v>
      </c>
      <c r="B153" s="49">
        <f>IF(COUNT(Vertices[Clustering Coefficient])&gt;0,R2,NoMetricMessage)</f>
        <v>0</v>
      </c>
    </row>
    <row r="154" spans="1:2" ht="15">
      <c r="A154" s="35" t="s">
        <v>119</v>
      </c>
      <c r="B154" s="49">
        <f>IF(COUNT(Vertices[Clustering Coefficient])&gt;0,R57,NoMetricMessage)</f>
        <v>0</v>
      </c>
    </row>
    <row r="155" spans="1:2" ht="15">
      <c r="A155" s="35" t="s">
        <v>120</v>
      </c>
      <c r="B155" s="49">
        <f>_xlfn.IFERROR(AVERAGE(Vertices[Clustering Coefficient]),NoMetricMessage)</f>
        <v>0</v>
      </c>
    </row>
    <row r="156" spans="1:2" ht="15">
      <c r="A156" s="35" t="s">
        <v>121</v>
      </c>
      <c r="B156"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4"/>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426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427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428</v>
      </c>
      <c r="K7" s="13" t="s">
        <v>429</v>
      </c>
    </row>
    <row r="8" spans="1:11" ht="409.5">
      <c r="A8"/>
      <c r="B8">
        <v>2</v>
      </c>
      <c r="C8">
        <v>2</v>
      </c>
      <c r="D8" t="s">
        <v>61</v>
      </c>
      <c r="E8" t="s">
        <v>61</v>
      </c>
      <c r="H8" t="s">
        <v>73</v>
      </c>
      <c r="J8" t="s">
        <v>430</v>
      </c>
      <c r="K8" s="13" t="s">
        <v>431</v>
      </c>
    </row>
    <row r="9" spans="1:11" ht="409.5">
      <c r="A9"/>
      <c r="B9">
        <v>3</v>
      </c>
      <c r="C9">
        <v>4</v>
      </c>
      <c r="D9" t="s">
        <v>62</v>
      </c>
      <c r="E9" t="s">
        <v>62</v>
      </c>
      <c r="H9" t="s">
        <v>74</v>
      </c>
      <c r="J9" t="s">
        <v>432</v>
      </c>
      <c r="K9" s="13" t="s">
        <v>433</v>
      </c>
    </row>
    <row r="10" spans="1:11" ht="409.5">
      <c r="A10"/>
      <c r="B10">
        <v>4</v>
      </c>
      <c r="D10" t="s">
        <v>63</v>
      </c>
      <c r="E10" t="s">
        <v>63</v>
      </c>
      <c r="H10" t="s">
        <v>75</v>
      </c>
      <c r="J10" t="s">
        <v>434</v>
      </c>
      <c r="K10" s="13" t="s">
        <v>435</v>
      </c>
    </row>
    <row r="11" spans="1:11" ht="15">
      <c r="A11"/>
      <c r="B11">
        <v>5</v>
      </c>
      <c r="D11" t="s">
        <v>46</v>
      </c>
      <c r="E11">
        <v>1</v>
      </c>
      <c r="H11" t="s">
        <v>76</v>
      </c>
      <c r="J11" t="s">
        <v>436</v>
      </c>
      <c r="K11" t="s">
        <v>437</v>
      </c>
    </row>
    <row r="12" spans="1:11" ht="15">
      <c r="A12"/>
      <c r="B12"/>
      <c r="D12" t="s">
        <v>64</v>
      </c>
      <c r="E12">
        <v>2</v>
      </c>
      <c r="H12">
        <v>0</v>
      </c>
      <c r="J12" t="s">
        <v>438</v>
      </c>
      <c r="K12" t="s">
        <v>439</v>
      </c>
    </row>
    <row r="13" spans="1:11" ht="15">
      <c r="A13"/>
      <c r="B13"/>
      <c r="D13">
        <v>1</v>
      </c>
      <c r="E13">
        <v>3</v>
      </c>
      <c r="H13">
        <v>1</v>
      </c>
      <c r="J13" t="s">
        <v>440</v>
      </c>
      <c r="K13" t="s">
        <v>441</v>
      </c>
    </row>
    <row r="14" spans="4:11" ht="15">
      <c r="D14">
        <v>2</v>
      </c>
      <c r="E14">
        <v>4</v>
      </c>
      <c r="H14">
        <v>2</v>
      </c>
      <c r="J14" t="s">
        <v>442</v>
      </c>
      <c r="K14" t="s">
        <v>443</v>
      </c>
    </row>
    <row r="15" spans="4:11" ht="15">
      <c r="D15">
        <v>3</v>
      </c>
      <c r="E15">
        <v>5</v>
      </c>
      <c r="H15">
        <v>3</v>
      </c>
      <c r="J15" t="s">
        <v>444</v>
      </c>
      <c r="K15" t="s">
        <v>445</v>
      </c>
    </row>
    <row r="16" spans="4:11" ht="15">
      <c r="D16">
        <v>4</v>
      </c>
      <c r="E16">
        <v>6</v>
      </c>
      <c r="H16">
        <v>4</v>
      </c>
      <c r="J16" t="s">
        <v>446</v>
      </c>
      <c r="K16" t="s">
        <v>447</v>
      </c>
    </row>
    <row r="17" spans="4:11" ht="15">
      <c r="D17">
        <v>5</v>
      </c>
      <c r="E17">
        <v>7</v>
      </c>
      <c r="H17">
        <v>5</v>
      </c>
      <c r="J17" t="s">
        <v>448</v>
      </c>
      <c r="K17" t="s">
        <v>449</v>
      </c>
    </row>
    <row r="18" spans="4:11" ht="15">
      <c r="D18">
        <v>6</v>
      </c>
      <c r="E18">
        <v>8</v>
      </c>
      <c r="H18">
        <v>6</v>
      </c>
      <c r="J18" t="s">
        <v>450</v>
      </c>
      <c r="K18" t="s">
        <v>451</v>
      </c>
    </row>
    <row r="19" spans="4:11" ht="15">
      <c r="D19">
        <v>7</v>
      </c>
      <c r="E19">
        <v>9</v>
      </c>
      <c r="H19">
        <v>7</v>
      </c>
      <c r="J19" t="s">
        <v>452</v>
      </c>
      <c r="K19" t="s">
        <v>453</v>
      </c>
    </row>
    <row r="20" spans="4:11" ht="15">
      <c r="D20">
        <v>8</v>
      </c>
      <c r="H20">
        <v>8</v>
      </c>
      <c r="J20" t="s">
        <v>454</v>
      </c>
      <c r="K20" t="s">
        <v>455</v>
      </c>
    </row>
    <row r="21" spans="4:11" ht="409.5">
      <c r="D21">
        <v>9</v>
      </c>
      <c r="H21">
        <v>9</v>
      </c>
      <c r="J21" t="s">
        <v>456</v>
      </c>
      <c r="K21" s="13" t="s">
        <v>457</v>
      </c>
    </row>
    <row r="22" spans="4:11" ht="409.5">
      <c r="D22">
        <v>10</v>
      </c>
      <c r="J22" t="s">
        <v>458</v>
      </c>
      <c r="K22" s="13" t="s">
        <v>459</v>
      </c>
    </row>
    <row r="23" spans="4:11" ht="409.5">
      <c r="D23">
        <v>11</v>
      </c>
      <c r="J23" t="s">
        <v>460</v>
      </c>
      <c r="K23" s="13" t="s">
        <v>461</v>
      </c>
    </row>
    <row r="24" spans="10:11" ht="409.5">
      <c r="J24" t="s">
        <v>462</v>
      </c>
      <c r="K24" s="13" t="s">
        <v>624</v>
      </c>
    </row>
    <row r="25" spans="10:11" ht="15">
      <c r="J25" t="s">
        <v>463</v>
      </c>
      <c r="K25" t="b">
        <v>0</v>
      </c>
    </row>
    <row r="26" spans="10:11" ht="15">
      <c r="J26" t="s">
        <v>622</v>
      </c>
      <c r="K26" t="s">
        <v>623</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470</v>
      </c>
      <c r="B2" s="120" t="s">
        <v>471</v>
      </c>
      <c r="C2" s="68" t="s">
        <v>472</v>
      </c>
    </row>
    <row r="3" spans="1:3" ht="15">
      <c r="A3" s="119" t="s">
        <v>465</v>
      </c>
      <c r="B3" s="119" t="s">
        <v>465</v>
      </c>
      <c r="C3" s="36">
        <v>18</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s>
  <sheetData>
    <row r="1" spans="1:4" ht="15" customHeight="1">
      <c r="A1" s="13" t="s">
        <v>479</v>
      </c>
      <c r="B1" s="13" t="s">
        <v>480</v>
      </c>
      <c r="C1" s="13" t="s">
        <v>481</v>
      </c>
      <c r="D1" s="13" t="s">
        <v>482</v>
      </c>
    </row>
    <row r="2" spans="1:4" ht="15">
      <c r="A2" s="90" t="s">
        <v>261</v>
      </c>
      <c r="B2" s="86">
        <v>1</v>
      </c>
      <c r="C2" s="90" t="s">
        <v>244</v>
      </c>
      <c r="D2" s="86">
        <v>1</v>
      </c>
    </row>
    <row r="3" spans="1:4" ht="15">
      <c r="A3" s="90" t="s">
        <v>260</v>
      </c>
      <c r="B3" s="86">
        <v>1</v>
      </c>
      <c r="C3" s="90" t="s">
        <v>246</v>
      </c>
      <c r="D3" s="86">
        <v>1</v>
      </c>
    </row>
    <row r="4" spans="1:4" ht="15">
      <c r="A4" s="90" t="s">
        <v>259</v>
      </c>
      <c r="B4" s="86">
        <v>1</v>
      </c>
      <c r="C4" s="90" t="s">
        <v>245</v>
      </c>
      <c r="D4" s="86">
        <v>1</v>
      </c>
    </row>
    <row r="5" spans="1:4" ht="15">
      <c r="A5" s="90" t="s">
        <v>258</v>
      </c>
      <c r="B5" s="86">
        <v>1</v>
      </c>
      <c r="C5" s="90" t="s">
        <v>247</v>
      </c>
      <c r="D5" s="86">
        <v>1</v>
      </c>
    </row>
    <row r="6" spans="1:4" ht="15">
      <c r="A6" s="90" t="s">
        <v>257</v>
      </c>
      <c r="B6" s="86">
        <v>1</v>
      </c>
      <c r="C6" s="90" t="s">
        <v>248</v>
      </c>
      <c r="D6" s="86">
        <v>1</v>
      </c>
    </row>
    <row r="7" spans="1:4" ht="15">
      <c r="A7" s="90" t="s">
        <v>256</v>
      </c>
      <c r="B7" s="86">
        <v>1</v>
      </c>
      <c r="C7" s="90" t="s">
        <v>249</v>
      </c>
      <c r="D7" s="86">
        <v>1</v>
      </c>
    </row>
    <row r="8" spans="1:4" ht="15">
      <c r="A8" s="90" t="s">
        <v>255</v>
      </c>
      <c r="B8" s="86">
        <v>1</v>
      </c>
      <c r="C8" s="90" t="s">
        <v>250</v>
      </c>
      <c r="D8" s="86">
        <v>1</v>
      </c>
    </row>
    <row r="9" spans="1:4" ht="15">
      <c r="A9" s="90" t="s">
        <v>254</v>
      </c>
      <c r="B9" s="86">
        <v>1</v>
      </c>
      <c r="C9" s="90" t="s">
        <v>251</v>
      </c>
      <c r="D9" s="86">
        <v>1</v>
      </c>
    </row>
    <row r="10" spans="1:4" ht="15">
      <c r="A10" s="90" t="s">
        <v>253</v>
      </c>
      <c r="B10" s="86">
        <v>1</v>
      </c>
      <c r="C10" s="90" t="s">
        <v>253</v>
      </c>
      <c r="D10" s="86">
        <v>1</v>
      </c>
    </row>
    <row r="11" spans="1:4" ht="15">
      <c r="A11" s="90" t="s">
        <v>252</v>
      </c>
      <c r="B11" s="86">
        <v>1</v>
      </c>
      <c r="C11" s="90" t="s">
        <v>252</v>
      </c>
      <c r="D11" s="86">
        <v>1</v>
      </c>
    </row>
    <row r="14" spans="1:4" ht="15" customHeight="1">
      <c r="A14" s="13" t="s">
        <v>485</v>
      </c>
      <c r="B14" s="13" t="s">
        <v>480</v>
      </c>
      <c r="C14" s="13" t="s">
        <v>486</v>
      </c>
      <c r="D14" s="13" t="s">
        <v>482</v>
      </c>
    </row>
    <row r="15" spans="1:4" ht="15">
      <c r="A15" s="86" t="s">
        <v>273</v>
      </c>
      <c r="B15" s="86">
        <v>2</v>
      </c>
      <c r="C15" s="86" t="s">
        <v>262</v>
      </c>
      <c r="D15" s="86">
        <v>2</v>
      </c>
    </row>
    <row r="16" spans="1:4" ht="15">
      <c r="A16" s="86" t="s">
        <v>272</v>
      </c>
      <c r="B16" s="86">
        <v>2</v>
      </c>
      <c r="C16" s="86" t="s">
        <v>269</v>
      </c>
      <c r="D16" s="86">
        <v>2</v>
      </c>
    </row>
    <row r="17" spans="1:4" ht="15">
      <c r="A17" s="86" t="s">
        <v>271</v>
      </c>
      <c r="B17" s="86">
        <v>2</v>
      </c>
      <c r="C17" s="86" t="s">
        <v>271</v>
      </c>
      <c r="D17" s="86">
        <v>2</v>
      </c>
    </row>
    <row r="18" spans="1:4" ht="15">
      <c r="A18" s="86" t="s">
        <v>269</v>
      </c>
      <c r="B18" s="86">
        <v>2</v>
      </c>
      <c r="C18" s="86" t="s">
        <v>272</v>
      </c>
      <c r="D18" s="86">
        <v>2</v>
      </c>
    </row>
    <row r="19" spans="1:4" ht="15">
      <c r="A19" s="86" t="s">
        <v>262</v>
      </c>
      <c r="B19" s="86">
        <v>2</v>
      </c>
      <c r="C19" s="86" t="s">
        <v>273</v>
      </c>
      <c r="D19" s="86">
        <v>2</v>
      </c>
    </row>
    <row r="20" spans="1:4" ht="15">
      <c r="A20" s="86" t="s">
        <v>274</v>
      </c>
      <c r="B20" s="86">
        <v>1</v>
      </c>
      <c r="C20" s="86" t="s">
        <v>263</v>
      </c>
      <c r="D20" s="86">
        <v>1</v>
      </c>
    </row>
    <row r="21" spans="1:4" ht="15">
      <c r="A21" s="86" t="s">
        <v>270</v>
      </c>
      <c r="B21" s="86">
        <v>1</v>
      </c>
      <c r="C21" s="86" t="s">
        <v>264</v>
      </c>
      <c r="D21" s="86">
        <v>1</v>
      </c>
    </row>
    <row r="22" spans="1:4" ht="15">
      <c r="A22" s="86" t="s">
        <v>268</v>
      </c>
      <c r="B22" s="86">
        <v>1</v>
      </c>
      <c r="C22" s="86" t="s">
        <v>265</v>
      </c>
      <c r="D22" s="86">
        <v>1</v>
      </c>
    </row>
    <row r="23" spans="1:4" ht="15">
      <c r="A23" s="86" t="s">
        <v>267</v>
      </c>
      <c r="B23" s="86">
        <v>1</v>
      </c>
      <c r="C23" s="86" t="s">
        <v>266</v>
      </c>
      <c r="D23" s="86">
        <v>1</v>
      </c>
    </row>
    <row r="24" spans="1:4" ht="15">
      <c r="A24" s="86" t="s">
        <v>266</v>
      </c>
      <c r="B24" s="86">
        <v>1</v>
      </c>
      <c r="C24" s="86" t="s">
        <v>267</v>
      </c>
      <c r="D24" s="86">
        <v>1</v>
      </c>
    </row>
    <row r="27" spans="1:4" ht="15" customHeight="1">
      <c r="A27" s="13" t="s">
        <v>489</v>
      </c>
      <c r="B27" s="13" t="s">
        <v>480</v>
      </c>
      <c r="C27" s="13" t="s">
        <v>490</v>
      </c>
      <c r="D27" s="13" t="s">
        <v>482</v>
      </c>
    </row>
    <row r="28" spans="1:4" ht="15">
      <c r="A28" s="86" t="s">
        <v>275</v>
      </c>
      <c r="B28" s="86">
        <v>1</v>
      </c>
      <c r="C28" s="86" t="s">
        <v>275</v>
      </c>
      <c r="D28" s="86">
        <v>1</v>
      </c>
    </row>
    <row r="31" spans="1:4" ht="15" customHeight="1">
      <c r="A31" s="13" t="s">
        <v>492</v>
      </c>
      <c r="B31" s="13" t="s">
        <v>480</v>
      </c>
      <c r="C31" s="13" t="s">
        <v>503</v>
      </c>
      <c r="D31" s="13" t="s">
        <v>482</v>
      </c>
    </row>
    <row r="32" spans="1:4" ht="15">
      <c r="A32" s="92" t="s">
        <v>493</v>
      </c>
      <c r="B32" s="92">
        <v>3</v>
      </c>
      <c r="C32" s="92" t="s">
        <v>498</v>
      </c>
      <c r="D32" s="92">
        <v>18</v>
      </c>
    </row>
    <row r="33" spans="1:4" ht="15">
      <c r="A33" s="92" t="s">
        <v>494</v>
      </c>
      <c r="B33" s="92">
        <v>0</v>
      </c>
      <c r="C33" s="92" t="s">
        <v>499</v>
      </c>
      <c r="D33" s="92">
        <v>18</v>
      </c>
    </row>
    <row r="34" spans="1:4" ht="15">
      <c r="A34" s="92" t="s">
        <v>495</v>
      </c>
      <c r="B34" s="92">
        <v>0</v>
      </c>
      <c r="C34" s="92" t="s">
        <v>500</v>
      </c>
      <c r="D34" s="92">
        <v>18</v>
      </c>
    </row>
    <row r="35" spans="1:4" ht="15">
      <c r="A35" s="92" t="s">
        <v>496</v>
      </c>
      <c r="B35" s="92">
        <v>189</v>
      </c>
      <c r="C35" s="92" t="s">
        <v>501</v>
      </c>
      <c r="D35" s="92">
        <v>11</v>
      </c>
    </row>
    <row r="36" spans="1:4" ht="15">
      <c r="A36" s="92" t="s">
        <v>497</v>
      </c>
      <c r="B36" s="92">
        <v>192</v>
      </c>
      <c r="C36" s="92" t="s">
        <v>502</v>
      </c>
      <c r="D36" s="92">
        <v>9</v>
      </c>
    </row>
    <row r="37" spans="1:4" ht="15">
      <c r="A37" s="92" t="s">
        <v>498</v>
      </c>
      <c r="B37" s="92">
        <v>18</v>
      </c>
      <c r="C37" s="92" t="s">
        <v>504</v>
      </c>
      <c r="D37" s="92">
        <v>9</v>
      </c>
    </row>
    <row r="38" spans="1:4" ht="15">
      <c r="A38" s="92" t="s">
        <v>499</v>
      </c>
      <c r="B38" s="92">
        <v>18</v>
      </c>
      <c r="C38" s="92" t="s">
        <v>505</v>
      </c>
      <c r="D38" s="92">
        <v>8</v>
      </c>
    </row>
    <row r="39" spans="1:4" ht="15">
      <c r="A39" s="92" t="s">
        <v>500</v>
      </c>
      <c r="B39" s="92">
        <v>18</v>
      </c>
      <c r="C39" s="92" t="s">
        <v>506</v>
      </c>
      <c r="D39" s="92">
        <v>6</v>
      </c>
    </row>
    <row r="40" spans="1:4" ht="15">
      <c r="A40" s="92" t="s">
        <v>501</v>
      </c>
      <c r="B40" s="92">
        <v>11</v>
      </c>
      <c r="C40" s="92" t="s">
        <v>507</v>
      </c>
      <c r="D40" s="92">
        <v>5</v>
      </c>
    </row>
    <row r="41" spans="1:4" ht="15">
      <c r="A41" s="92" t="s">
        <v>502</v>
      </c>
      <c r="B41" s="92">
        <v>9</v>
      </c>
      <c r="C41" s="92" t="s">
        <v>508</v>
      </c>
      <c r="D41" s="92">
        <v>4</v>
      </c>
    </row>
    <row r="44" spans="1:4" ht="15" customHeight="1">
      <c r="A44" s="13" t="s">
        <v>511</v>
      </c>
      <c r="B44" s="13" t="s">
        <v>480</v>
      </c>
      <c r="C44" s="13" t="s">
        <v>522</v>
      </c>
      <c r="D44" s="13" t="s">
        <v>482</v>
      </c>
    </row>
    <row r="45" spans="1:4" ht="15">
      <c r="A45" s="92" t="s">
        <v>512</v>
      </c>
      <c r="B45" s="92">
        <v>18</v>
      </c>
      <c r="C45" s="92" t="s">
        <v>512</v>
      </c>
      <c r="D45" s="92">
        <v>18</v>
      </c>
    </row>
    <row r="46" spans="1:4" ht="15">
      <c r="A46" s="92" t="s">
        <v>513</v>
      </c>
      <c r="B46" s="92">
        <v>13</v>
      </c>
      <c r="C46" s="92" t="s">
        <v>513</v>
      </c>
      <c r="D46" s="92">
        <v>13</v>
      </c>
    </row>
    <row r="47" spans="1:4" ht="15">
      <c r="A47" s="92" t="s">
        <v>514</v>
      </c>
      <c r="B47" s="92">
        <v>9</v>
      </c>
      <c r="C47" s="92" t="s">
        <v>514</v>
      </c>
      <c r="D47" s="92">
        <v>9</v>
      </c>
    </row>
    <row r="48" spans="1:4" ht="15">
      <c r="A48" s="92" t="s">
        <v>515</v>
      </c>
      <c r="B48" s="92">
        <v>9</v>
      </c>
      <c r="C48" s="92" t="s">
        <v>515</v>
      </c>
      <c r="D48" s="92">
        <v>9</v>
      </c>
    </row>
    <row r="49" spans="1:4" ht="15">
      <c r="A49" s="92" t="s">
        <v>516</v>
      </c>
      <c r="B49" s="92">
        <v>5</v>
      </c>
      <c r="C49" s="92" t="s">
        <v>516</v>
      </c>
      <c r="D49" s="92">
        <v>5</v>
      </c>
    </row>
    <row r="50" spans="1:4" ht="15">
      <c r="A50" s="92" t="s">
        <v>517</v>
      </c>
      <c r="B50" s="92">
        <v>4</v>
      </c>
      <c r="C50" s="92" t="s">
        <v>521</v>
      </c>
      <c r="D50" s="92">
        <v>4</v>
      </c>
    </row>
    <row r="51" spans="1:4" ht="15">
      <c r="A51" s="92" t="s">
        <v>518</v>
      </c>
      <c r="B51" s="92">
        <v>4</v>
      </c>
      <c r="C51" s="92" t="s">
        <v>518</v>
      </c>
      <c r="D51" s="92">
        <v>4</v>
      </c>
    </row>
    <row r="52" spans="1:4" ht="15">
      <c r="A52" s="92" t="s">
        <v>519</v>
      </c>
      <c r="B52" s="92">
        <v>4</v>
      </c>
      <c r="C52" s="92" t="s">
        <v>519</v>
      </c>
      <c r="D52" s="92">
        <v>4</v>
      </c>
    </row>
    <row r="53" spans="1:4" ht="15">
      <c r="A53" s="92" t="s">
        <v>520</v>
      </c>
      <c r="B53" s="92">
        <v>4</v>
      </c>
      <c r="C53" s="92" t="s">
        <v>520</v>
      </c>
      <c r="D53" s="92">
        <v>4</v>
      </c>
    </row>
    <row r="54" spans="1:4" ht="15">
      <c r="A54" s="92" t="s">
        <v>521</v>
      </c>
      <c r="B54" s="92">
        <v>4</v>
      </c>
      <c r="C54" s="92" t="s">
        <v>517</v>
      </c>
      <c r="D54" s="92">
        <v>4</v>
      </c>
    </row>
    <row r="57" spans="1:4" ht="15" customHeight="1">
      <c r="A57" s="86" t="s">
        <v>525</v>
      </c>
      <c r="B57" s="86" t="s">
        <v>480</v>
      </c>
      <c r="C57" s="86" t="s">
        <v>527</v>
      </c>
      <c r="D57" s="86" t="s">
        <v>482</v>
      </c>
    </row>
    <row r="58" spans="1:4" ht="15">
      <c r="A58" s="86"/>
      <c r="B58" s="86"/>
      <c r="C58" s="86"/>
      <c r="D58" s="86"/>
    </row>
    <row r="60" spans="1:4" ht="15" customHeight="1">
      <c r="A60" s="86" t="s">
        <v>526</v>
      </c>
      <c r="B60" s="86" t="s">
        <v>480</v>
      </c>
      <c r="C60" s="86" t="s">
        <v>528</v>
      </c>
      <c r="D60" s="86" t="s">
        <v>482</v>
      </c>
    </row>
    <row r="61" spans="1:4" ht="15">
      <c r="A61" s="86"/>
      <c r="B61" s="86"/>
      <c r="C61" s="86"/>
      <c r="D61" s="86"/>
    </row>
    <row r="63" spans="1:4" ht="15" customHeight="1">
      <c r="A63" s="13" t="s">
        <v>531</v>
      </c>
      <c r="B63" s="13" t="s">
        <v>480</v>
      </c>
      <c r="C63" s="13" t="s">
        <v>532</v>
      </c>
      <c r="D63" s="13" t="s">
        <v>482</v>
      </c>
    </row>
    <row r="64" spans="1:4" ht="15">
      <c r="A64" s="117" t="s">
        <v>212</v>
      </c>
      <c r="B64" s="86">
        <v>900597</v>
      </c>
      <c r="C64" s="117" t="s">
        <v>212</v>
      </c>
      <c r="D64" s="86">
        <v>900597</v>
      </c>
    </row>
    <row r="65" spans="1:4" ht="15">
      <c r="A65" s="117" t="s">
        <v>220</v>
      </c>
      <c r="B65" s="86">
        <v>848964</v>
      </c>
      <c r="C65" s="117" t="s">
        <v>220</v>
      </c>
      <c r="D65" s="86">
        <v>848964</v>
      </c>
    </row>
    <row r="66" spans="1:4" ht="15">
      <c r="A66" s="117" t="s">
        <v>215</v>
      </c>
      <c r="B66" s="86">
        <v>616059</v>
      </c>
      <c r="C66" s="117" t="s">
        <v>215</v>
      </c>
      <c r="D66" s="86">
        <v>616059</v>
      </c>
    </row>
    <row r="67" spans="1:4" ht="15">
      <c r="A67" s="117" t="s">
        <v>221</v>
      </c>
      <c r="B67" s="86">
        <v>551660</v>
      </c>
      <c r="C67" s="117" t="s">
        <v>221</v>
      </c>
      <c r="D67" s="86">
        <v>551660</v>
      </c>
    </row>
    <row r="68" spans="1:4" ht="15">
      <c r="A68" s="117" t="s">
        <v>216</v>
      </c>
      <c r="B68" s="86">
        <v>491951</v>
      </c>
      <c r="C68" s="117" t="s">
        <v>216</v>
      </c>
      <c r="D68" s="86">
        <v>491951</v>
      </c>
    </row>
    <row r="69" spans="1:4" ht="15">
      <c r="A69" s="117" t="s">
        <v>217</v>
      </c>
      <c r="B69" s="86">
        <v>486967</v>
      </c>
      <c r="C69" s="117" t="s">
        <v>217</v>
      </c>
      <c r="D69" s="86">
        <v>486967</v>
      </c>
    </row>
    <row r="70" spans="1:4" ht="15">
      <c r="A70" s="117" t="s">
        <v>214</v>
      </c>
      <c r="B70" s="86">
        <v>448907</v>
      </c>
      <c r="C70" s="117" t="s">
        <v>214</v>
      </c>
      <c r="D70" s="86">
        <v>448907</v>
      </c>
    </row>
    <row r="71" spans="1:4" ht="15">
      <c r="A71" s="117" t="s">
        <v>224</v>
      </c>
      <c r="B71" s="86">
        <v>407135</v>
      </c>
      <c r="C71" s="117" t="s">
        <v>224</v>
      </c>
      <c r="D71" s="86">
        <v>407135</v>
      </c>
    </row>
    <row r="72" spans="1:4" ht="15">
      <c r="A72" s="117" t="s">
        <v>222</v>
      </c>
      <c r="B72" s="86">
        <v>376851</v>
      </c>
      <c r="C72" s="117" t="s">
        <v>222</v>
      </c>
      <c r="D72" s="86">
        <v>376851</v>
      </c>
    </row>
    <row r="73" spans="1:4" ht="15">
      <c r="A73" s="117" t="s">
        <v>223</v>
      </c>
      <c r="B73" s="86">
        <v>344073</v>
      </c>
      <c r="C73" s="117" t="s">
        <v>223</v>
      </c>
      <c r="D73" s="86">
        <v>344073</v>
      </c>
    </row>
  </sheetData>
  <hyperlinks>
    <hyperlink ref="A2" r:id="rId1" display="https://baseballnewssource.com/?p=3158071"/>
    <hyperlink ref="A3" r:id="rId2" display="https://dispatchtribunal.com/?p=2515014"/>
    <hyperlink ref="A4" r:id="rId3" display="https://dispatchtribunal.com/?p=2490299"/>
    <hyperlink ref="A5" r:id="rId4" display="http://theenterpriseleader.com/?p=1823032"/>
    <hyperlink ref="A6" r:id="rId5" display="https://theenterpriseleader.com/?p=1823032"/>
    <hyperlink ref="A7" r:id="rId6" display="https://www.thestockobserver.com/2019/01/21/xcel-brands-xelb-downgraded-to-hold-at-zacks-investment-research.html"/>
    <hyperlink ref="A8" r:id="rId7" display="https://www.thestockobserver.com/2019/01/13/zacks-xcel-brands-inc-xelb-given-average-recommendation-of-strong-buy-by-brokerages.html"/>
    <hyperlink ref="A9" r:id="rId8" display="https://dakotafinancialnews.com/?p=777866"/>
    <hyperlink ref="A10" r:id="rId9" display="http://www.transcriptdaily.com/?p=2076428"/>
    <hyperlink ref="A11" r:id="rId10" display="http://www.transcriptdaily.com/?p=2056136"/>
    <hyperlink ref="C2" r:id="rId11" display="https://www.dailypolitical.com/?p=2635792"/>
    <hyperlink ref="C3" r:id="rId12" display="https://www.dailypolitical.com/2019/01/10/head-to-head-analysis-arc-group-arck-and-xcel-brands-xelb.html"/>
    <hyperlink ref="C4" r:id="rId13" display="https://drumup.io/s/Bd4zLm"/>
    <hyperlink ref="C5" r:id="rId14" display="https://weekherald.com/?p=3434492"/>
    <hyperlink ref="C6" r:id="rId15" display="http://www.conferencecalltranscripts.org/4/summary2/?id=5663369"/>
    <hyperlink ref="C7" r:id="rId16" display="https://chaffeybreeze.com/?p=2260871"/>
    <hyperlink ref="C8" r:id="rId17" display="http://www.themarketsdaily.com/?p=2179648"/>
    <hyperlink ref="C9" r:id="rId18" display="https://macondaily.com/?p=1474996"/>
    <hyperlink ref="C10" r:id="rId19" display="http://www.transcriptdaily.com/?p=2076428"/>
    <hyperlink ref="C11" r:id="rId20" display="http://www.transcriptdaily.com/?p=2056136"/>
  </hyperlinks>
  <printOptions/>
  <pageMargins left="0.7" right="0.7" top="0.75" bottom="0.75" header="0.3" footer="0.3"/>
  <pageSetup orientation="portrait" paperSize="9"/>
  <tableParts>
    <tablePart r:id="rId21"/>
    <tablePart r:id="rId27"/>
    <tablePart r:id="rId22"/>
    <tablePart r:id="rId28"/>
    <tablePart r:id="rId25"/>
    <tablePart r:id="rId23"/>
    <tablePart r:id="rId24"/>
    <tablePart r:id="rId26"/>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C23766E-DD40-4483-BA8C-327E4D0437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2019-01-23T09:29:57Z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